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zwx12\PycharmProjects\Invest_Proc\financial_models\Opportunities\"/>
    </mc:Choice>
  </mc:AlternateContent>
  <xr:revisionPtr revIDLastSave="0" documentId="13_ncr:1_{47EF576C-1F94-46B0-9648-9EF57627DE3C}" xr6:coauthVersionLast="47" xr6:coauthVersionMax="47" xr10:uidLastSave="{00000000-0000-0000-0000-000000000000}"/>
  <bookViews>
    <workbookView xWindow="-98" yWindow="-98" windowWidth="21795" windowHeight="12975" activeTab="2" xr2:uid="{00000000-000D-0000-FFFF-FFFF00000000}"/>
  </bookViews>
  <sheets>
    <sheet name="Dashboard" sheetId="1" r:id="rId1"/>
    <sheet name="Data" sheetId="2" r:id="rId2"/>
    <sheet name="Asset_Model" sheetId="3" r:id="rId3"/>
    <sheet name="Projections" sheetId="7" r:id="rId4"/>
    <sheet name="Visualizations" sheetId="8" r:id="rId5"/>
    <sheet name="Val_Models" sheetId="4" r:id="rId6"/>
    <sheet name="Qualitative_Analysis" sheetId="5" r:id="rId7"/>
  </sheets>
  <definedNames>
    <definedName name="Common_Shares">Dashboard!$I$5</definedName>
    <definedName name="Exchange_Rate">Dashboard!$I$12</definedName>
  </definedNames>
  <calcPr calcId="191029" concurrentManualCount="32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9" roundtripDataSignature="AMtx7mi73Cg0ax9bLfpeUuF69nNRn7idDQ=="/>
    </ext>
  </extLst>
</workbook>
</file>

<file path=xl/calcChain.xml><?xml version="1.0" encoding="utf-8"?>
<calcChain xmlns="http://schemas.openxmlformats.org/spreadsheetml/2006/main">
  <c r="I20" i="7" l="1"/>
  <c r="H20" i="7"/>
  <c r="F35" i="2"/>
  <c r="G35" i="2"/>
  <c r="H35" i="2"/>
  <c r="I35" i="2"/>
  <c r="J35" i="2"/>
  <c r="K35" i="2"/>
  <c r="L35" i="2"/>
  <c r="M35" i="2"/>
  <c r="G8" i="7" l="1"/>
  <c r="G7" i="7"/>
  <c r="G6" i="7"/>
  <c r="G5" i="7"/>
  <c r="G4" i="7"/>
  <c r="F9" i="2"/>
  <c r="E9" i="2"/>
  <c r="D9" i="2"/>
  <c r="C9" i="2"/>
  <c r="F11" i="7" s="1"/>
  <c r="G15" i="7"/>
  <c r="G11" i="7"/>
  <c r="I44" i="3"/>
  <c r="I24" i="3"/>
  <c r="C47" i="3"/>
  <c r="C45" i="3"/>
  <c r="C25" i="3"/>
  <c r="C27" i="3"/>
  <c r="C26" i="3"/>
  <c r="C44" i="3"/>
  <c r="C38" i="3"/>
  <c r="C46" i="3" s="1"/>
  <c r="L18" i="8"/>
  <c r="K18" i="8" s="1"/>
  <c r="J18" i="8" s="1"/>
  <c r="I18" i="8" s="1"/>
  <c r="H18" i="8" s="1"/>
  <c r="G18" i="8" s="1"/>
  <c r="F18" i="8" s="1"/>
  <c r="E18" i="8" s="1"/>
  <c r="D18" i="8" s="1"/>
  <c r="C18" i="8" s="1"/>
  <c r="G9" i="7" l="1"/>
  <c r="G12" i="7" s="1"/>
  <c r="E53" i="2"/>
  <c r="F53" i="2"/>
  <c r="G53" i="2"/>
  <c r="H53" i="2"/>
  <c r="I53" i="2"/>
  <c r="J53" i="2"/>
  <c r="K53" i="2"/>
  <c r="L53" i="2"/>
  <c r="M53" i="2"/>
  <c r="D53" i="2"/>
  <c r="C53" i="2"/>
  <c r="E52" i="2"/>
  <c r="F52" i="2"/>
  <c r="G52" i="2"/>
  <c r="H52" i="2"/>
  <c r="I52" i="2"/>
  <c r="J52" i="2"/>
  <c r="K52" i="2"/>
  <c r="L52" i="2"/>
  <c r="M52" i="2"/>
  <c r="D52" i="2"/>
  <c r="C52" i="2"/>
  <c r="E45" i="2"/>
  <c r="F45" i="2"/>
  <c r="G45" i="2"/>
  <c r="H45" i="2"/>
  <c r="I45" i="2"/>
  <c r="J45" i="2"/>
  <c r="K45" i="2"/>
  <c r="L45" i="2"/>
  <c r="M45" i="2"/>
  <c r="D45" i="2"/>
  <c r="C45" i="2"/>
  <c r="J108" i="8" l="1"/>
  <c r="K108" i="8"/>
  <c r="L108" i="8"/>
  <c r="M108" i="8"/>
  <c r="L107" i="8"/>
  <c r="M107" i="8"/>
  <c r="J106" i="8"/>
  <c r="K106" i="8"/>
  <c r="L106" i="8"/>
  <c r="M106" i="8"/>
  <c r="J105" i="8"/>
  <c r="K105" i="8"/>
  <c r="L105" i="8"/>
  <c r="M105" i="8"/>
  <c r="J104" i="8"/>
  <c r="K104" i="8"/>
  <c r="L104" i="8"/>
  <c r="M104" i="8"/>
  <c r="M47" i="8"/>
  <c r="M72" i="8" s="1"/>
  <c r="M79" i="8" s="1"/>
  <c r="C47" i="8"/>
  <c r="C72" i="8" s="1"/>
  <c r="C79" i="8" s="1"/>
  <c r="C11" i="7"/>
  <c r="D11" i="7"/>
  <c r="E11" i="7"/>
  <c r="C9" i="7"/>
  <c r="F9" i="7"/>
  <c r="E9" i="7"/>
  <c r="D9" i="7"/>
  <c r="C15" i="7"/>
  <c r="D15" i="7"/>
  <c r="E15" i="7"/>
  <c r="F15" i="7"/>
  <c r="I15" i="3"/>
  <c r="C37" i="1"/>
  <c r="B18" i="1" s="1"/>
  <c r="J20" i="1"/>
  <c r="F42" i="1"/>
  <c r="I22" i="7"/>
  <c r="F4" i="4"/>
  <c r="F5" i="4" s="1"/>
  <c r="B5" i="4"/>
  <c r="I36" i="2"/>
  <c r="I38" i="2" s="1"/>
  <c r="J36" i="2"/>
  <c r="J38" i="2" s="1"/>
  <c r="K36" i="2"/>
  <c r="K38" i="2" s="1"/>
  <c r="L36" i="2"/>
  <c r="L38" i="2" s="1"/>
  <c r="M36" i="2"/>
  <c r="M38" i="2" s="1"/>
  <c r="G33" i="2"/>
  <c r="H33" i="2"/>
  <c r="I33" i="2"/>
  <c r="J33" i="2"/>
  <c r="K33" i="2"/>
  <c r="L33" i="2"/>
  <c r="M33" i="2"/>
  <c r="F23" i="7"/>
  <c r="D61" i="2"/>
  <c r="E61" i="2"/>
  <c r="B8" i="4"/>
  <c r="B12" i="4" s="1"/>
  <c r="J10" i="1"/>
  <c r="E5" i="1"/>
  <c r="M37" i="2" l="1"/>
  <c r="L37" i="2"/>
  <c r="K37" i="2"/>
  <c r="J37" i="2"/>
  <c r="I37" i="2"/>
  <c r="F47" i="8"/>
  <c r="F72" i="8" s="1"/>
  <c r="F79" i="8" s="1"/>
  <c r="J47" i="8"/>
  <c r="J72" i="8" s="1"/>
  <c r="J79" i="8" s="1"/>
  <c r="G47" i="8"/>
  <c r="G72" i="8" s="1"/>
  <c r="G79" i="8" s="1"/>
  <c r="E47" i="8"/>
  <c r="E72" i="8" s="1"/>
  <c r="E79" i="8" s="1"/>
  <c r="L47" i="8"/>
  <c r="L72" i="8" s="1"/>
  <c r="L79" i="8" s="1"/>
  <c r="D47" i="8"/>
  <c r="D72" i="8" s="1"/>
  <c r="D79" i="8" s="1"/>
  <c r="K47" i="8"/>
  <c r="K72" i="8" s="1"/>
  <c r="K79" i="8" s="1"/>
  <c r="I47" i="8"/>
  <c r="I72" i="8" s="1"/>
  <c r="I79" i="8" s="1"/>
  <c r="H47" i="8"/>
  <c r="H72" i="8" s="1"/>
  <c r="H79" i="8" s="1"/>
  <c r="C12" i="7"/>
  <c r="E14" i="7"/>
  <c r="D14" i="7"/>
  <c r="C14" i="7"/>
  <c r="E12" i="7"/>
  <c r="C13" i="7"/>
  <c r="C18" i="7" s="1"/>
  <c r="C16" i="7" s="1"/>
  <c r="D10" i="7"/>
  <c r="E13" i="7"/>
  <c r="E18" i="7" s="1"/>
  <c r="E16" i="7" s="1"/>
  <c r="E10" i="7"/>
  <c r="D12" i="7"/>
  <c r="D13" i="7"/>
  <c r="D18" i="7" s="1"/>
  <c r="B6" i="4"/>
  <c r="B9" i="4"/>
  <c r="J27" i="1"/>
  <c r="C31" i="4"/>
  <c r="C35" i="4"/>
  <c r="G27" i="4"/>
  <c r="D16" i="7" l="1"/>
  <c r="D17" i="7"/>
  <c r="E17" i="7"/>
  <c r="G10" i="7"/>
  <c r="G22" i="7" s="1"/>
  <c r="B16" i="1" l="1"/>
  <c r="H22" i="7" l="1"/>
  <c r="I34" i="3"/>
  <c r="E11" i="3"/>
  <c r="E12" i="3"/>
  <c r="E13" i="3"/>
  <c r="E14" i="3"/>
  <c r="E15" i="3"/>
  <c r="E16" i="3"/>
  <c r="E17" i="3"/>
  <c r="E18" i="3"/>
  <c r="E19" i="3"/>
  <c r="E20" i="3"/>
  <c r="E21" i="3"/>
  <c r="E22" i="3"/>
  <c r="E31" i="3"/>
  <c r="E44" i="3" s="1"/>
  <c r="E32" i="3"/>
  <c r="E33" i="3"/>
  <c r="E34" i="3"/>
  <c r="E35" i="3"/>
  <c r="E36" i="3"/>
  <c r="E37" i="3"/>
  <c r="E38" i="3"/>
  <c r="E39" i="3"/>
  <c r="E40" i="3"/>
  <c r="E41" i="3"/>
  <c r="E42" i="3"/>
  <c r="I49" i="3"/>
  <c r="D4" i="3"/>
  <c r="C53" i="3" s="1"/>
  <c r="I10" i="1"/>
  <c r="G19" i="3"/>
  <c r="G20" i="3"/>
  <c r="G33" i="3"/>
  <c r="G35" i="3"/>
  <c r="G36" i="3"/>
  <c r="G37" i="3"/>
  <c r="D56" i="3"/>
  <c r="I56" i="3" s="1"/>
  <c r="D3" i="5"/>
  <c r="D4" i="5"/>
  <c r="D12" i="5"/>
  <c r="D13" i="5"/>
  <c r="D14" i="5"/>
  <c r="D15" i="5"/>
  <c r="D16" i="5"/>
  <c r="D24" i="5"/>
  <c r="D25" i="5"/>
  <c r="D26" i="5"/>
  <c r="D27" i="5"/>
  <c r="D28" i="5"/>
  <c r="C48" i="3"/>
  <c r="D19" i="5"/>
  <c r="D20" i="5"/>
  <c r="D21" i="5"/>
  <c r="D22" i="5"/>
  <c r="D31" i="5"/>
  <c r="D32" i="5"/>
  <c r="D33" i="5"/>
  <c r="D34" i="5"/>
  <c r="D35" i="5"/>
  <c r="D37" i="5"/>
  <c r="D38" i="5"/>
  <c r="D39" i="5"/>
  <c r="D40" i="5"/>
  <c r="D41" i="5"/>
  <c r="D43" i="5"/>
  <c r="D44" i="5"/>
  <c r="D45" i="5"/>
  <c r="D46" i="5"/>
  <c r="D47" i="5"/>
  <c r="D48" i="5"/>
  <c r="D50" i="5"/>
  <c r="D51" i="5"/>
  <c r="D52" i="5"/>
  <c r="D53" i="5"/>
  <c r="B69" i="5"/>
  <c r="B70" i="5"/>
  <c r="B71" i="5"/>
  <c r="E71" i="5"/>
  <c r="D56" i="5"/>
  <c r="D57" i="5"/>
  <c r="D58" i="5"/>
  <c r="D59" i="5"/>
  <c r="D60" i="5"/>
  <c r="D61" i="5"/>
  <c r="B15" i="1"/>
  <c r="G21" i="4"/>
  <c r="F21" i="4"/>
  <c r="C12" i="1"/>
  <c r="E6" i="1"/>
  <c r="F3" i="7" s="1"/>
  <c r="E28" i="1"/>
  <c r="E7" i="3"/>
  <c r="I55" i="2"/>
  <c r="J55" i="2"/>
  <c r="K55" i="2"/>
  <c r="L55" i="2"/>
  <c r="M55" i="2"/>
  <c r="H61" i="2"/>
  <c r="F61" i="2"/>
  <c r="G61" i="2"/>
  <c r="I61" i="2"/>
  <c r="J61" i="2"/>
  <c r="K61" i="2"/>
  <c r="L61" i="2"/>
  <c r="M61" i="2"/>
  <c r="C61" i="2"/>
  <c r="D20" i="2"/>
  <c r="E20" i="2"/>
  <c r="F20" i="2"/>
  <c r="G20" i="2"/>
  <c r="H20" i="2"/>
  <c r="I20" i="2"/>
  <c r="J20" i="2"/>
  <c r="K20" i="2"/>
  <c r="L20" i="2"/>
  <c r="M20" i="2"/>
  <c r="C20" i="2"/>
  <c r="G16" i="3"/>
  <c r="C6" i="2"/>
  <c r="D6" i="2" s="1"/>
  <c r="E6" i="2" s="1"/>
  <c r="F6" i="2" s="1"/>
  <c r="G6" i="2" s="1"/>
  <c r="H6" i="2" s="1"/>
  <c r="I6" i="2" s="1"/>
  <c r="J6" i="2" s="1"/>
  <c r="K6" i="2" s="1"/>
  <c r="L6" i="2" s="1"/>
  <c r="M6" i="2" s="1"/>
  <c r="C28" i="2"/>
  <c r="D28" i="2"/>
  <c r="D46" i="2" s="1"/>
  <c r="E28" i="2"/>
  <c r="E46" i="2" s="1"/>
  <c r="F28" i="2"/>
  <c r="F46" i="2" s="1"/>
  <c r="I4" i="3"/>
  <c r="D6" i="1"/>
  <c r="B3" i="4"/>
  <c r="C62" i="3"/>
  <c r="E49" i="2"/>
  <c r="F49" i="2"/>
  <c r="G49" i="2"/>
  <c r="H49" i="2"/>
  <c r="I49" i="2"/>
  <c r="J49" i="2"/>
  <c r="K49" i="2"/>
  <c r="L49" i="2"/>
  <c r="M49" i="2"/>
  <c r="D49" i="2"/>
  <c r="H46" i="2"/>
  <c r="I46" i="2"/>
  <c r="J46" i="2"/>
  <c r="K46" i="2"/>
  <c r="L46" i="2"/>
  <c r="M46" i="2"/>
  <c r="D44" i="4"/>
  <c r="D42" i="2"/>
  <c r="E42" i="2"/>
  <c r="F42" i="2"/>
  <c r="G42" i="2"/>
  <c r="H42" i="2"/>
  <c r="I42" i="2"/>
  <c r="J42" i="2"/>
  <c r="K42" i="2"/>
  <c r="L42" i="2"/>
  <c r="M42" i="2"/>
  <c r="D43" i="2"/>
  <c r="E43" i="2"/>
  <c r="F43" i="2"/>
  <c r="G43" i="2"/>
  <c r="H43" i="2"/>
  <c r="I43" i="2"/>
  <c r="J43" i="2"/>
  <c r="K43" i="2"/>
  <c r="L43" i="2"/>
  <c r="M43" i="2"/>
  <c r="C43" i="2"/>
  <c r="D7" i="1" s="1"/>
  <c r="C42" i="2"/>
  <c r="C7" i="1" s="1"/>
  <c r="C24" i="3"/>
  <c r="C14" i="2"/>
  <c r="C48" i="2" s="1"/>
  <c r="G28" i="2"/>
  <c r="G46" i="2" s="1"/>
  <c r="H28" i="2"/>
  <c r="I28" i="2"/>
  <c r="J28" i="2"/>
  <c r="K28" i="2"/>
  <c r="L28" i="2"/>
  <c r="M28" i="2"/>
  <c r="J12" i="1"/>
  <c r="E4" i="2"/>
  <c r="H36" i="2"/>
  <c r="G36" i="2"/>
  <c r="F36" i="2"/>
  <c r="C8" i="2"/>
  <c r="C10" i="2"/>
  <c r="M15" i="2"/>
  <c r="E77" i="5"/>
  <c r="B77" i="5"/>
  <c r="E76" i="5"/>
  <c r="B76" i="5"/>
  <c r="E75" i="5"/>
  <c r="B75" i="5"/>
  <c r="E74" i="5"/>
  <c r="B74" i="5"/>
  <c r="E73" i="5"/>
  <c r="B73" i="5"/>
  <c r="E72" i="5"/>
  <c r="B72" i="5"/>
  <c r="D54" i="5" s="1" a="1"/>
  <c r="D54" i="5" s="1"/>
  <c r="E70" i="5"/>
  <c r="E69" i="5"/>
  <c r="E68" i="5"/>
  <c r="M17" i="2"/>
  <c r="M14" i="2"/>
  <c r="M48" i="2" s="1"/>
  <c r="K14" i="2"/>
  <c r="K48" i="2" s="1"/>
  <c r="M12" i="2"/>
  <c r="M10" i="2"/>
  <c r="L10" i="2"/>
  <c r="K10" i="2"/>
  <c r="H10" i="2"/>
  <c r="G10" i="2"/>
  <c r="D10" i="2"/>
  <c r="L14" i="2"/>
  <c r="L48" i="2" s="1"/>
  <c r="J14" i="2"/>
  <c r="J48" i="2" s="1"/>
  <c r="I10" i="2"/>
  <c r="H14" i="2"/>
  <c r="H48" i="2" s="1"/>
  <c r="G14" i="2"/>
  <c r="F14" i="2"/>
  <c r="F48" i="2" s="1"/>
  <c r="E10" i="2"/>
  <c r="L8" i="2"/>
  <c r="K8" i="2"/>
  <c r="J8" i="2"/>
  <c r="I8" i="2"/>
  <c r="H8" i="2"/>
  <c r="G8" i="2"/>
  <c r="F8" i="2"/>
  <c r="E8" i="2"/>
  <c r="E35" i="2" s="1"/>
  <c r="E36" i="2" s="1"/>
  <c r="E37" i="2" s="1"/>
  <c r="D8" i="2"/>
  <c r="D35" i="2" s="1"/>
  <c r="D36" i="2" s="1"/>
  <c r="D37" i="2" s="1"/>
  <c r="F3" i="2" a="1"/>
  <c r="F3" i="2" s="1"/>
  <c r="I9" i="1" s="1"/>
  <c r="J9" i="1" s="1"/>
  <c r="G33" i="1"/>
  <c r="G29" i="1" s="1"/>
  <c r="E33" i="1"/>
  <c r="E29" i="1" s="1"/>
  <c r="C33" i="1"/>
  <c r="C29" i="1" s="1"/>
  <c r="G32" i="1"/>
  <c r="E32" i="1"/>
  <c r="C32" i="1"/>
  <c r="I30" i="1"/>
  <c r="I6" i="1"/>
  <c r="C2" i="1"/>
  <c r="C49" i="2"/>
  <c r="D14" i="2"/>
  <c r="D48" i="2" s="1"/>
  <c r="L12" i="2"/>
  <c r="F10" i="2"/>
  <c r="J10" i="2"/>
  <c r="J12" i="2"/>
  <c r="E14" i="2"/>
  <c r="E48" i="2" s="1"/>
  <c r="I14" i="2"/>
  <c r="I48" i="2" s="1"/>
  <c r="K12" i="2"/>
  <c r="K17" i="2"/>
  <c r="J17" i="2"/>
  <c r="L17" i="2"/>
  <c r="F10" i="7" l="1"/>
  <c r="C35" i="2"/>
  <c r="E45" i="3"/>
  <c r="E47" i="3"/>
  <c r="D47" i="3" s="1"/>
  <c r="C11" i="1"/>
  <c r="G16" i="2"/>
  <c r="G48" i="2"/>
  <c r="E46" i="3"/>
  <c r="D46" i="3" s="1"/>
  <c r="E25" i="3"/>
  <c r="E27" i="3"/>
  <c r="E26" i="3"/>
  <c r="I8" i="3"/>
  <c r="C28" i="3"/>
  <c r="C61" i="3"/>
  <c r="D66" i="3"/>
  <c r="H38" i="2"/>
  <c r="H55" i="2" s="1"/>
  <c r="H37" i="2"/>
  <c r="G38" i="2"/>
  <c r="G55" i="2" s="1"/>
  <c r="G37" i="2"/>
  <c r="F38" i="2"/>
  <c r="F37" i="2"/>
  <c r="D16" i="2"/>
  <c r="D38" i="2" s="1"/>
  <c r="I16" i="2"/>
  <c r="C16" i="2"/>
  <c r="C17" i="2" s="1"/>
  <c r="F16" i="2"/>
  <c r="J13" i="2"/>
  <c r="J51" i="2" s="1"/>
  <c r="J54" i="2" s="1"/>
  <c r="J16" i="2"/>
  <c r="L47" i="2"/>
  <c r="L16" i="2"/>
  <c r="K47" i="2"/>
  <c r="K16" i="2"/>
  <c r="C46" i="2"/>
  <c r="E3" i="7"/>
  <c r="H16" i="2"/>
  <c r="L15" i="2"/>
  <c r="M16" i="2"/>
  <c r="E13" i="2"/>
  <c r="E51" i="2" s="1"/>
  <c r="E54" i="2" s="1"/>
  <c r="E16" i="2"/>
  <c r="E38" i="2" s="1"/>
  <c r="C36" i="2"/>
  <c r="C37" i="2" s="1"/>
  <c r="F22" i="7"/>
  <c r="F24" i="7" s="1"/>
  <c r="C7" i="4" s="1"/>
  <c r="I7" i="3"/>
  <c r="F14" i="7"/>
  <c r="G14" i="7" s="1"/>
  <c r="G17" i="2"/>
  <c r="G47" i="2"/>
  <c r="D45" i="4"/>
  <c r="D47" i="4" s="1"/>
  <c r="C14" i="4"/>
  <c r="B27" i="4"/>
  <c r="D36" i="5"/>
  <c r="E36" i="5" s="1"/>
  <c r="D6" i="5"/>
  <c r="E6" i="5" s="1"/>
  <c r="G13" i="2"/>
  <c r="G51" i="2" s="1"/>
  <c r="G54" i="2" s="1"/>
  <c r="G15" i="2"/>
  <c r="H15" i="2"/>
  <c r="I15" i="2"/>
  <c r="J47" i="2"/>
  <c r="J15" i="2"/>
  <c r="L13" i="2"/>
  <c r="L51" i="2" s="1"/>
  <c r="L54" i="2" s="1"/>
  <c r="K13" i="2"/>
  <c r="K51" i="2" s="1"/>
  <c r="K54" i="2" s="1"/>
  <c r="K15" i="2"/>
  <c r="M47" i="2"/>
  <c r="H13" i="2"/>
  <c r="F15" i="2"/>
  <c r="M13" i="2"/>
  <c r="M51" i="2" s="1"/>
  <c r="M54" i="2" s="1"/>
  <c r="I47" i="2"/>
  <c r="H47" i="2"/>
  <c r="I13" i="2"/>
  <c r="I51" i="2" s="1"/>
  <c r="I54" i="2" s="1"/>
  <c r="D55" i="5"/>
  <c r="E55" i="5" s="1"/>
  <c r="D49" i="5"/>
  <c r="E49" i="5" s="1"/>
  <c r="D42" i="5"/>
  <c r="E42" i="5" s="1"/>
  <c r="D30" i="5"/>
  <c r="E30" i="5" s="1"/>
  <c r="D5" i="5"/>
  <c r="E5" i="5" s="1"/>
  <c r="G10" i="4"/>
  <c r="F13" i="7"/>
  <c r="F18" i="7" s="1"/>
  <c r="D55" i="3"/>
  <c r="C30" i="4" s="1"/>
  <c r="D30" i="4" s="1"/>
  <c r="E62" i="3"/>
  <c r="C15" i="4" s="1"/>
  <c r="D15" i="4" s="1"/>
  <c r="F47" i="2"/>
  <c r="C13" i="2"/>
  <c r="F12" i="7"/>
  <c r="I11" i="7" s="1"/>
  <c r="I13" i="7" s="1"/>
  <c r="E24" i="3"/>
  <c r="E48" i="3"/>
  <c r="D48" i="3" s="1"/>
  <c r="E61" i="3"/>
  <c r="E34" i="1"/>
  <c r="I33" i="1"/>
  <c r="I34" i="1" s="1"/>
  <c r="I35" i="1" s="1"/>
  <c r="E53" i="3"/>
  <c r="I29" i="1"/>
  <c r="E15" i="2"/>
  <c r="F13" i="2"/>
  <c r="E47" i="2"/>
  <c r="D15" i="2"/>
  <c r="D47" i="2"/>
  <c r="D13" i="2"/>
  <c r="C15" i="2"/>
  <c r="C47" i="2"/>
  <c r="G3" i="7"/>
  <c r="C3" i="4"/>
  <c r="C27" i="4" s="1"/>
  <c r="J16" i="1"/>
  <c r="C20" i="4"/>
  <c r="B3" i="7"/>
  <c r="G35" i="4" l="1"/>
  <c r="D26" i="3"/>
  <c r="D27" i="3"/>
  <c r="C49" i="3"/>
  <c r="E3" i="3" s="1"/>
  <c r="I6" i="3"/>
  <c r="I26" i="3"/>
  <c r="J26" i="3" s="1"/>
  <c r="E28" i="3"/>
  <c r="I25" i="3" s="1"/>
  <c r="D61" i="3"/>
  <c r="I27" i="3"/>
  <c r="I47" i="3"/>
  <c r="I46" i="3"/>
  <c r="J46" i="3" s="1"/>
  <c r="D17" i="2"/>
  <c r="I17" i="2"/>
  <c r="I12" i="2"/>
  <c r="H17" i="2"/>
  <c r="H51" i="2"/>
  <c r="H54" i="2" s="1"/>
  <c r="H12" i="2"/>
  <c r="F4" i="2"/>
  <c r="E12" i="2"/>
  <c r="D3" i="7"/>
  <c r="F16" i="7"/>
  <c r="F17" i="7"/>
  <c r="C38" i="2"/>
  <c r="E55" i="2"/>
  <c r="I18" i="7"/>
  <c r="I16" i="7" s="1"/>
  <c r="C17" i="4"/>
  <c r="C32" i="4"/>
  <c r="G12" i="2"/>
  <c r="D46" i="4"/>
  <c r="G13" i="7"/>
  <c r="D62" i="3"/>
  <c r="D12" i="2"/>
  <c r="D51" i="2"/>
  <c r="D54" i="2" s="1"/>
  <c r="D55" i="2" s="1"/>
  <c r="C12" i="2"/>
  <c r="C51" i="2"/>
  <c r="C54" i="2" s="1"/>
  <c r="F12" i="2"/>
  <c r="F51" i="2"/>
  <c r="F54" i="2" s="1"/>
  <c r="F55" i="2" s="1"/>
  <c r="C16" i="4"/>
  <c r="D16" i="4" s="1"/>
  <c r="D62" i="5"/>
  <c r="E62" i="5" s="1"/>
  <c r="D63" i="3"/>
  <c r="E35" i="1"/>
  <c r="C38" i="1"/>
  <c r="D3" i="4"/>
  <c r="D27" i="4" s="1"/>
  <c r="F21" i="7"/>
  <c r="F20" i="7" s="1"/>
  <c r="C18" i="4"/>
  <c r="D18" i="4" s="1"/>
  <c r="D53" i="3"/>
  <c r="D24" i="3"/>
  <c r="D52" i="3"/>
  <c r="F17" i="2"/>
  <c r="E17" i="2"/>
  <c r="F27" i="3" l="1"/>
  <c r="F26" i="3"/>
  <c r="G36" i="4"/>
  <c r="F24" i="3"/>
  <c r="F25" i="3"/>
  <c r="D28" i="3"/>
  <c r="E49" i="3"/>
  <c r="D49" i="3" s="1"/>
  <c r="D17" i="4"/>
  <c r="G18" i="4" s="1"/>
  <c r="C3" i="7"/>
  <c r="F25" i="7"/>
  <c r="I23" i="7"/>
  <c r="I24" i="7"/>
  <c r="C4" i="4"/>
  <c r="F26" i="7"/>
  <c r="C55" i="2"/>
  <c r="G18" i="7"/>
  <c r="D44" i="3"/>
  <c r="D45" i="3"/>
  <c r="G15" i="4"/>
  <c r="J27" i="3"/>
  <c r="D25" i="3"/>
  <c r="C45" i="4" l="1"/>
  <c r="C6" i="4"/>
  <c r="D6" i="3"/>
  <c r="D7" i="3" s="1"/>
  <c r="G17" i="7"/>
  <c r="G16" i="7"/>
  <c r="C8" i="4"/>
  <c r="G19" i="7"/>
  <c r="J47" i="3"/>
  <c r="J28" i="3" s="1"/>
  <c r="D31" i="4" l="1"/>
  <c r="D32" i="4" s="1"/>
  <c r="G21" i="7"/>
  <c r="G20" i="7" s="1"/>
  <c r="C9" i="4"/>
  <c r="C28" i="4"/>
  <c r="C33" i="4" s="1"/>
  <c r="C34" i="4" s="1"/>
  <c r="D18" i="5"/>
  <c r="E64" i="5" s="1"/>
  <c r="C37" i="4" s="1"/>
  <c r="F44" i="1"/>
  <c r="D4" i="4" l="1"/>
  <c r="G24" i="7"/>
  <c r="D7" i="4" s="1"/>
  <c r="E18" i="5"/>
  <c r="F43" i="1"/>
  <c r="D64" i="5"/>
  <c r="E7" i="5" s="1"/>
  <c r="D7" i="5" s="1"/>
  <c r="D8" i="5" s="1"/>
  <c r="E8" i="5" s="1"/>
  <c r="F41" i="1" s="1"/>
  <c r="G40" i="4"/>
  <c r="D22" i="4" l="1"/>
  <c r="D23" i="4"/>
  <c r="D6" i="4"/>
  <c r="G16" i="4"/>
  <c r="F16" i="1" s="1"/>
  <c r="H16" i="1" s="1"/>
  <c r="D5" i="4"/>
  <c r="G26" i="7"/>
  <c r="F18" i="4"/>
  <c r="D8" i="4"/>
  <c r="D28" i="4" s="1"/>
  <c r="E6" i="3"/>
  <c r="E17" i="4" l="1"/>
  <c r="D33" i="4"/>
  <c r="D34" i="4" s="1"/>
  <c r="D9" i="4"/>
  <c r="H11" i="7"/>
  <c r="H3" i="7"/>
  <c r="E3" i="4" l="1"/>
  <c r="E27" i="4" s="1"/>
  <c r="G45" i="4"/>
  <c r="F45" i="4"/>
  <c r="E45" i="4"/>
  <c r="H13" i="7"/>
  <c r="H18" i="7" s="1"/>
  <c r="I17" i="7" l="1"/>
  <c r="I3" i="7" s="1"/>
  <c r="E2" i="7" s="1"/>
  <c r="H19" i="7"/>
  <c r="H17" i="7"/>
  <c r="H16" i="7"/>
  <c r="F10" i="4" l="1"/>
  <c r="G34" i="4"/>
  <c r="D10" i="4"/>
  <c r="F3" i="4"/>
  <c r="G4" i="4" s="1"/>
  <c r="B21" i="4" s="1"/>
  <c r="G2" i="4" s="1"/>
  <c r="G26" i="4" s="1"/>
  <c r="E31" i="4"/>
  <c r="I19" i="7"/>
  <c r="H21" i="7"/>
  <c r="D35" i="4" l="1"/>
  <c r="D36" i="4" s="1"/>
  <c r="D37" i="4" s="1"/>
  <c r="D39" i="4" s="1"/>
  <c r="D11" i="4"/>
  <c r="F11" i="4"/>
  <c r="F27" i="4"/>
  <c r="E4" i="4"/>
  <c r="E10" i="4" s="1"/>
  <c r="E11" i="4" s="1"/>
  <c r="E12" i="4" s="1"/>
  <c r="H24" i="7"/>
  <c r="E7" i="4" s="1"/>
  <c r="F31" i="4"/>
  <c r="I21" i="7"/>
  <c r="I26" i="7" s="1"/>
  <c r="G11" i="4" l="1"/>
  <c r="D12" i="4"/>
  <c r="D38" i="4"/>
  <c r="E5" i="4"/>
  <c r="H26" i="7"/>
  <c r="E8" i="4"/>
  <c r="E28" i="4" s="1"/>
  <c r="E32" i="4" s="1"/>
  <c r="F35" i="4"/>
  <c r="F36" i="4" s="1"/>
  <c r="F8" i="4"/>
  <c r="F28" i="4" s="1"/>
  <c r="F32" i="4" s="1"/>
  <c r="F33" i="4" s="1"/>
  <c r="F34" i="4" s="1"/>
  <c r="G37" i="4"/>
  <c r="F37" i="4" l="1"/>
  <c r="E33" i="4"/>
  <c r="E34" i="4" s="1"/>
  <c r="F9" i="4"/>
  <c r="G9" i="4"/>
  <c r="E35" i="4"/>
  <c r="F12" i="4"/>
  <c r="E38" i="4"/>
  <c r="E9" i="4"/>
  <c r="F38" i="4" l="1"/>
  <c r="F39" i="4" s="1"/>
  <c r="E22" i="4" l="1"/>
  <c r="F22" i="4" s="1"/>
  <c r="E23" i="4"/>
  <c r="F23" i="4" s="1"/>
  <c r="G23" i="4" s="1"/>
  <c r="G22" i="4" l="1"/>
  <c r="E36" i="4"/>
  <c r="E37" i="4" l="1"/>
  <c r="G38" i="4"/>
  <c r="G39" i="4" s="1"/>
  <c r="G24" i="4"/>
  <c r="E39" i="4"/>
  <c r="G41" i="4" l="1"/>
  <c r="C44" i="4" s="1"/>
  <c r="G44" i="4" s="1"/>
  <c r="C47" i="4" l="1"/>
  <c r="C46" i="4"/>
  <c r="G46" i="4" s="1"/>
  <c r="E44" i="4"/>
  <c r="F44" i="4"/>
  <c r="E14" i="1"/>
  <c r="F47" i="4" l="1"/>
  <c r="G47" i="4"/>
  <c r="E47" i="4"/>
  <c r="I38" i="1"/>
  <c r="F48" i="1"/>
  <c r="F46" i="4"/>
  <c r="I37" i="1"/>
  <c r="E46" i="4"/>
  <c r="E48" i="1"/>
  <c r="B17" i="1" l="1"/>
  <c r="E37" i="1" s="1"/>
  <c r="J18" i="1"/>
  <c r="H18" i="1"/>
  <c r="D18" i="1"/>
  <c r="F47" i="1"/>
  <c r="E47" i="1"/>
  <c r="E52" i="1" s="1"/>
  <c r="D16" i="1"/>
  <c r="F52" i="1" l="1"/>
  <c r="F50" i="1"/>
  <c r="E50" i="1"/>
  <c r="E51" i="1"/>
  <c r="H17" i="1"/>
  <c r="F51" i="1"/>
  <c r="D17" i="1"/>
  <c r="J17" i="1"/>
  <c r="F53" i="1" l="1"/>
  <c r="E53" i="1"/>
</calcChain>
</file>

<file path=xl/sharedStrings.xml><?xml version="1.0" encoding="utf-8"?>
<sst xmlns="http://schemas.openxmlformats.org/spreadsheetml/2006/main" count="486" uniqueCount="415">
  <si>
    <t>Company Info:</t>
  </si>
  <si>
    <t>Ticker:</t>
  </si>
  <si>
    <t>Listing Location:</t>
  </si>
  <si>
    <t>HKG</t>
  </si>
  <si>
    <t>Ticker Name:</t>
  </si>
  <si>
    <t>Current Price:</t>
  </si>
  <si>
    <t>HKD</t>
  </si>
  <si>
    <t>Valuation Date:</t>
  </si>
  <si>
    <t>Number of Shares:</t>
  </si>
  <si>
    <t>Capitalization:</t>
  </si>
  <si>
    <t>LFY Dividend and Buyback</t>
  </si>
  <si>
    <t>Current Price Metrics</t>
  </si>
  <si>
    <t>Discount Rate Assumptions</t>
  </si>
  <si>
    <t>P/E Ratio &amp; Earnings Yield:</t>
  </si>
  <si>
    <t>Reporting Currency:</t>
  </si>
  <si>
    <t>Exchange Rate:</t>
  </si>
  <si>
    <t>Valuation Output:</t>
  </si>
  <si>
    <t>Excess Return</t>
  </si>
  <si>
    <t>Dividend Yield:</t>
  </si>
  <si>
    <t>Op. Assets</t>
  </si>
  <si>
    <t>Non-op. Assets</t>
  </si>
  <si>
    <t>=</t>
  </si>
  <si>
    <t>+</t>
  </si>
  <si>
    <t>Stock Analysis:</t>
  </si>
  <si>
    <t>1 sentence Pitch</t>
  </si>
  <si>
    <t>Strength &amp; Weakness</t>
  </si>
  <si>
    <t>Oppertunities &amp; Threat</t>
  </si>
  <si>
    <t>Execution Plan:</t>
  </si>
  <si>
    <t>Portfolio Size</t>
  </si>
  <si>
    <t>Date of Trade</t>
  </si>
  <si>
    <t>Total</t>
  </si>
  <si>
    <t>Aollcation</t>
  </si>
  <si>
    <t>Number of shares</t>
  </si>
  <si>
    <t>price per shares</t>
  </si>
  <si>
    <t>Corresponding Market Cap.</t>
  </si>
  <si>
    <t>Total Cost</t>
  </si>
  <si>
    <t>Cost per share</t>
  </si>
  <si>
    <t>Corresponding Cap</t>
  </si>
  <si>
    <t>Company Statement Inputs</t>
  </si>
  <si>
    <t>Year of the last 10k =</t>
  </si>
  <si>
    <t>Unit =</t>
  </si>
  <si>
    <t>Sales</t>
  </si>
  <si>
    <t>Sales Growth Rate</t>
  </si>
  <si>
    <t>COGS</t>
  </si>
  <si>
    <t>Gross Margin</t>
  </si>
  <si>
    <t>Operating Expenses</t>
  </si>
  <si>
    <t>Operating Expenses/Sales</t>
  </si>
  <si>
    <t>EBIT Margin</t>
  </si>
  <si>
    <t>EBIT</t>
  </si>
  <si>
    <t>EBIT Growth</t>
  </si>
  <si>
    <t>Estimated NOPAT</t>
  </si>
  <si>
    <t>NOPAT Margin</t>
  </si>
  <si>
    <t>owner's NI</t>
  </si>
  <si>
    <t>Current Liabilities</t>
  </si>
  <si>
    <t>ST Interest-bearing Debt</t>
  </si>
  <si>
    <t xml:space="preserve">ST Capital Lease </t>
  </si>
  <si>
    <t>LT Interest-bearing Debt</t>
  </si>
  <si>
    <t xml:space="preserve">LT Capital Lease </t>
  </si>
  <si>
    <t>Interest-bearing Debt</t>
  </si>
  <si>
    <t>Total Equity</t>
  </si>
  <si>
    <t>Estimated WCInv</t>
  </si>
  <si>
    <t>Dividend and Buyback</t>
  </si>
  <si>
    <t>Share Repurchase</t>
  </si>
  <si>
    <t>Financial Leverage</t>
  </si>
  <si>
    <t>EBIT / Total Debt</t>
  </si>
  <si>
    <t>Interes Expense / EBIT</t>
  </si>
  <si>
    <t>Current Ratio</t>
  </si>
  <si>
    <t>Capitalize R&amp;D expenses?</t>
  </si>
  <si>
    <t>Reinvestment</t>
  </si>
  <si>
    <t>NOPAT</t>
  </si>
  <si>
    <t>Output</t>
  </si>
  <si>
    <t>NAVPS =</t>
  </si>
  <si>
    <t>Discount</t>
  </si>
  <si>
    <t>Assets</t>
  </si>
  <si>
    <t>Book Figure</t>
  </si>
  <si>
    <t>Valued @</t>
  </si>
  <si>
    <t>Ajusted Valuation</t>
  </si>
  <si>
    <t>Liabilities</t>
  </si>
  <si>
    <t>Cash and cash equivalents</t>
  </si>
  <si>
    <t>ST Borrowing</t>
  </si>
  <si>
    <t>Restricted cash or deposit</t>
  </si>
  <si>
    <t>ST Lease liabilities</t>
  </si>
  <si>
    <t>Customer prepay. &amp; deposits</t>
  </si>
  <si>
    <t>ST SH Loan</t>
  </si>
  <si>
    <t>ST FV Investments</t>
  </si>
  <si>
    <t>ST Derivatives</t>
  </si>
  <si>
    <t>ST non-FV Investments</t>
  </si>
  <si>
    <t>Other ST liabilities</t>
  </si>
  <si>
    <t>Inventory</t>
  </si>
  <si>
    <t>Properties held for sale</t>
  </si>
  <si>
    <t>Properties under development</t>
  </si>
  <si>
    <t>ST DTA</t>
  </si>
  <si>
    <t>Other ST Assets</t>
  </si>
  <si>
    <t>Current Assets</t>
  </si>
  <si>
    <t>LT Depositis</t>
  </si>
  <si>
    <t>LT Borrowing</t>
  </si>
  <si>
    <t>LT FV Securities</t>
  </si>
  <si>
    <t>LT Lease liabilities</t>
  </si>
  <si>
    <t>LT non-FV Securities</t>
  </si>
  <si>
    <t>LT Derivatives</t>
  </si>
  <si>
    <t>LT SH Loan</t>
  </si>
  <si>
    <t>LT AR</t>
  </si>
  <si>
    <t>Other LT liabilities</t>
  </si>
  <si>
    <t>Investments in JV or associate</t>
  </si>
  <si>
    <t>Investment property</t>
  </si>
  <si>
    <t>Intangible assets</t>
  </si>
  <si>
    <t>LT DTA</t>
  </si>
  <si>
    <t>Other assets &amp; Goodwill</t>
  </si>
  <si>
    <t>Noncurrent Assets</t>
  </si>
  <si>
    <t>Noncurrent Liabilities</t>
  </si>
  <si>
    <t>Balance Sheet items Adjustments</t>
  </si>
  <si>
    <t>+ Preference Shares</t>
  </si>
  <si>
    <t>+ MV of the Options</t>
  </si>
  <si>
    <t>// If avg exercise price &gt; current price, then assume 0</t>
  </si>
  <si>
    <t>// Use BV Debt by default</t>
  </si>
  <si>
    <t>3. Non-operating Assets, STI &amp; Cash</t>
  </si>
  <si>
    <t>Market EV</t>
  </si>
  <si>
    <t>Note</t>
  </si>
  <si>
    <t>Total Revenue =</t>
  </si>
  <si>
    <t>COGS =</t>
  </si>
  <si>
    <t>Operating Expenses =</t>
  </si>
  <si>
    <t>EBIT growth rate</t>
  </si>
  <si>
    <t>Tax rate</t>
  </si>
  <si>
    <t>FCFF</t>
  </si>
  <si>
    <t>Discount Rate</t>
  </si>
  <si>
    <t>Cumulated Discount factor</t>
  </si>
  <si>
    <t>Margin of Safety Analysis</t>
  </si>
  <si>
    <t>unclear</t>
  </si>
  <si>
    <t>agree</t>
  </si>
  <si>
    <r>
      <t xml:space="preserve">⇒ </t>
    </r>
    <r>
      <rPr>
        <b/>
        <i/>
        <u/>
        <sz val="11"/>
        <color rgb="FF000000"/>
        <rFont val="Times New Roman"/>
        <family val="1"/>
      </rPr>
      <t>Valuation quality rating</t>
    </r>
  </si>
  <si>
    <t>Business Quality Assessment</t>
  </si>
  <si>
    <t>PART I: Business Tenets:</t>
  </si>
  <si>
    <t>2. Does the company have sustainable competitive advantages?</t>
  </si>
  <si>
    <t>3. Does the company have lots of reinvestment opportunities within their moats?</t>
  </si>
  <si>
    <t>4. Does the company have low amount of operating leverage?</t>
  </si>
  <si>
    <t>disagree</t>
  </si>
  <si>
    <t>5. Does the company have a good opeartional risk management history?</t>
  </si>
  <si>
    <t>Strongly agree</t>
  </si>
  <si>
    <t>PART II: Financial Tenets:</t>
  </si>
  <si>
    <t>2. Are the profit margins attractive (better than industry)?</t>
  </si>
  <si>
    <t xml:space="preserve">3. Can current operations be maintained without too much need to spend? </t>
  </si>
  <si>
    <t>4. Can cash be reinvested at attractive compound rates?</t>
  </si>
  <si>
    <t>5. Does the company have low working capital requirements and fast cash conversion cycle?</t>
  </si>
  <si>
    <t>PART III:  Management Tenets:</t>
  </si>
  <si>
    <t>1. Is the company operated by the owner operator?</t>
  </si>
  <si>
    <t>2. Can the management make clear and smart decisions?</t>
  </si>
  <si>
    <t>5. Are managers' interest positively aligned to benefit all stakeholders?</t>
  </si>
  <si>
    <t>PART IV: Market Tenets (Porter's Five forces):</t>
  </si>
  <si>
    <t>I. Threat of New Entrants =</t>
  </si>
  <si>
    <t>1. There is no cost advantage associated with the supply-side economics of scale.</t>
  </si>
  <si>
    <t>Strongly disagree</t>
  </si>
  <si>
    <t>II. Power of Suppliers =</t>
  </si>
  <si>
    <t>1. The supplier is more concentrated than the industry it sells to.</t>
  </si>
  <si>
    <t>III. Power of Buyers =</t>
  </si>
  <si>
    <t>1. There are few buyers, or some buyers who purchase in relatively large volumes.</t>
  </si>
  <si>
    <t>2. The products are standardized or undifferentiated.</t>
  </si>
  <si>
    <t>3. The buyers face low switching costs in changing vendors.</t>
  </si>
  <si>
    <t>4. The buyers can credibly threaten to integrate backward.</t>
  </si>
  <si>
    <t>5. The product the buyers purchase are relatively expensive.</t>
  </si>
  <si>
    <t>IV. Threat of Substitutions =</t>
  </si>
  <si>
    <t>1. There is an unfavorable gap in the price or performance when compared.</t>
  </si>
  <si>
    <t>2. The buyer's cost of switching to the substitute is low.</t>
  </si>
  <si>
    <t>V. Rivalry among existing Competitors =</t>
  </si>
  <si>
    <t>1. There are numerous competitors or are roughly equal in size and power.</t>
  </si>
  <si>
    <t>2. Industry growth is slow.</t>
  </si>
  <si>
    <r>
      <rPr>
        <sz val="11"/>
        <color rgb="FF000000"/>
        <rFont val="Times New Roman"/>
        <family val="1"/>
      </rPr>
      <t xml:space="preserve">Conclusion: the </t>
    </r>
    <r>
      <rPr>
        <u/>
        <sz val="11"/>
        <color rgb="FF000000"/>
        <rFont val="Times New Roman"/>
        <family val="1"/>
      </rPr>
      <t>Industry Competition level</t>
    </r>
    <r>
      <rPr>
        <sz val="11"/>
        <color rgb="FF000000"/>
        <rFont val="Times New Roman"/>
        <family val="1"/>
      </rPr>
      <t xml:space="preserve"> is</t>
    </r>
  </si>
  <si>
    <r>
      <t xml:space="preserve">⇒ </t>
    </r>
    <r>
      <rPr>
        <b/>
        <i/>
        <u/>
        <sz val="11"/>
        <color rgb="FF000000"/>
        <rFont val="Times New Roman"/>
        <family val="1"/>
      </rPr>
      <t>Business quality rating</t>
    </r>
  </si>
  <si>
    <t>// Reserved for Logic</t>
  </si>
  <si>
    <t>Average Asset Life by Sector, 2013</t>
  </si>
  <si>
    <t>No Barrier Company, 1y</t>
  </si>
  <si>
    <t>Information Technology Like</t>
  </si>
  <si>
    <t>Healthcare</t>
  </si>
  <si>
    <t>Consumer Discretionary</t>
  </si>
  <si>
    <t>Consumer Staples</t>
  </si>
  <si>
    <t>Industrials</t>
  </si>
  <si>
    <t>Telecommunication Services</t>
  </si>
  <si>
    <t>Energy</t>
  </si>
  <si>
    <t>Materials</t>
  </si>
  <si>
    <t>Utilities</t>
  </si>
  <si>
    <t>Dividend per share</t>
  </si>
  <si>
    <t>Repurchase per share</t>
  </si>
  <si>
    <t>Noncommon Interest</t>
  </si>
  <si>
    <t>1. MV of Noncommon Interest</t>
  </si>
  <si>
    <t>Common Equity</t>
  </si>
  <si>
    <t>6. The buyers are little affacted by the industry's product.</t>
  </si>
  <si>
    <t>3. Products or services of rivals are nearly identical with few buyer switching costs.</t>
  </si>
  <si>
    <t>4. Fixed costs are high and marginal costs are low.</t>
  </si>
  <si>
    <t>5. Capacity must be expanded in large increments to be efficient.</t>
  </si>
  <si>
    <t>6. The product is perishable (The opposite is product that gets better with age).</t>
  </si>
  <si>
    <t>P/FCFF</t>
  </si>
  <si>
    <t>Net Non-op. Asset Analysis</t>
  </si>
  <si>
    <t>Output:</t>
  </si>
  <si>
    <t>- Total outstanding debt</t>
  </si>
  <si>
    <t xml:space="preserve">Non-common Interest = </t>
  </si>
  <si>
    <t>TV per share</t>
  </si>
  <si>
    <t>Present Value</t>
  </si>
  <si>
    <t>Ending Cash Position</t>
  </si>
  <si>
    <t>+ Interest Bearing Debt</t>
  </si>
  <si>
    <t>Non-operating Assets</t>
  </si>
  <si>
    <t>= Non-op Asset less Debt and Minority interest</t>
  </si>
  <si>
    <t>- MV of Non-current Interest</t>
  </si>
  <si>
    <t>+ Cash and cash equivalents</t>
  </si>
  <si>
    <t>is_OP</t>
  </si>
  <si>
    <t>Y</t>
  </si>
  <si>
    <t>N</t>
  </si>
  <si>
    <t>+ Non-Op. &amp; Non-cash Asset</t>
  </si>
  <si>
    <t>Cash + cash equivalents</t>
  </si>
  <si>
    <t>EBIT =</t>
  </si>
  <si>
    <t>Operating Income Projections</t>
  </si>
  <si>
    <t>https://pages.stern.nyu.edu/~adamodar/New_Home_Page/datafile/wcdata.html</t>
  </si>
  <si>
    <t>Type:</t>
  </si>
  <si>
    <t>Most Recent Quarter Inputs</t>
  </si>
  <si>
    <t>Next Review Date:</t>
  </si>
  <si>
    <t>Interest Expense</t>
  </si>
  <si>
    <t>Cash Dividend Paid</t>
  </si>
  <si>
    <t>Total Equity per books  =</t>
  </si>
  <si>
    <t>Common Equity =</t>
  </si>
  <si>
    <t>Terminal Value</t>
  </si>
  <si>
    <t>Base Year</t>
  </si>
  <si>
    <t>https://edgeinvestments.org/blog/peter-lynch-stock-categories</t>
  </si>
  <si>
    <t>4. Working Capital</t>
  </si>
  <si>
    <t>2. Total Debt + PS + Options</t>
  </si>
  <si>
    <t>Non-cash WC/ Sales Benchmark</t>
  </si>
  <si>
    <t>Current Non-cash WC/ Sales Estimate</t>
  </si>
  <si>
    <r>
      <t xml:space="preserve">⇒ </t>
    </r>
    <r>
      <rPr>
        <b/>
        <u/>
        <sz val="11"/>
        <color rgb="FF000000"/>
        <rFont val="Times New Roman"/>
        <family val="1"/>
      </rPr>
      <t>WC/Sales for the model</t>
    </r>
  </si>
  <si>
    <t>Net Profit Growth</t>
  </si>
  <si>
    <t>Nominal Rf</t>
  </si>
  <si>
    <t>+ ERP</t>
  </si>
  <si>
    <t>3. Does the company have a stable and durable business?</t>
  </si>
  <si>
    <t>4. Does the company have rational and responsible managers?</t>
  </si>
  <si>
    <t>5. Does the company have a Excellent business?</t>
  </si>
  <si>
    <t>1. Does the company have simple revenue and expense streams to understand?</t>
  </si>
  <si>
    <t>1. Does the company have a non-cylical business?</t>
  </si>
  <si>
    <t>2. Does the company have simple and meaningful assets base to value?</t>
  </si>
  <si>
    <r>
      <t xml:space="preserve">3. Has management resisted the temptation to </t>
    </r>
    <r>
      <rPr>
        <i/>
        <sz val="11"/>
        <color theme="1"/>
        <rFont val="Times New Roman"/>
        <family val="1"/>
      </rPr>
      <t>grow quickly by merger</t>
    </r>
    <r>
      <rPr>
        <sz val="11"/>
        <color theme="1"/>
        <rFont val="Times New Roman"/>
        <family val="1"/>
      </rPr>
      <t xml:space="preserve"> or </t>
    </r>
    <r>
      <rPr>
        <i/>
        <sz val="11"/>
        <color theme="1"/>
        <rFont val="Times New Roman"/>
        <family val="1"/>
      </rPr>
      <t>buy back stock opportunistically</t>
    </r>
    <r>
      <rPr>
        <sz val="11"/>
        <color theme="1"/>
        <rFont val="Times New Roman"/>
        <family val="1"/>
      </rPr>
      <t>?</t>
    </r>
  </si>
  <si>
    <t>4. Does the company and management have good reputation?</t>
  </si>
  <si>
    <t>2. There is no network effect and low customer switching cost.</t>
  </si>
  <si>
    <t>3. There are low capital requirements.</t>
  </si>
  <si>
    <t xml:space="preserve">4. There is no incumbency advantages independent of size. (like management skill etc) </t>
  </si>
  <si>
    <t>2. There is high switching costs in changing suppliers.</t>
  </si>
  <si>
    <t>3. The suppliers offer products that are differentiated. (tech, brand, etc.)</t>
  </si>
  <si>
    <t>4. There is no substitute for what the supplier group provides.</t>
  </si>
  <si>
    <t>5. The supplier group can credibly threaten to integrate forward into the industry.</t>
  </si>
  <si>
    <t>3. The company have a negative ESG value.</t>
  </si>
  <si>
    <t>4. There is no restrictive government policy</t>
  </si>
  <si>
    <t>5. How long is the industry average asset life?</t>
  </si>
  <si>
    <t>R&amp;D expenses</t>
  </si>
  <si>
    <t>R&amp;D / Sales</t>
  </si>
  <si>
    <t>Base Case</t>
  </si>
  <si>
    <t>Reasonable Case</t>
  </si>
  <si>
    <t>PP&amp;E &amp; related assets</t>
  </si>
  <si>
    <t>Biological assets</t>
  </si>
  <si>
    <t>1. Is the company's balance sheet strong?  (Measured by Liquidity)</t>
  </si>
  <si>
    <t>NOPAT margin</t>
  </si>
  <si>
    <r>
      <t xml:space="preserve">5. There is no truly </t>
    </r>
    <r>
      <rPr>
        <i/>
        <sz val="11"/>
        <color theme="1"/>
        <rFont val="Times New Roman"/>
        <family val="1"/>
      </rPr>
      <t>durable</t>
    </r>
    <r>
      <rPr>
        <sz val="11"/>
        <color theme="1"/>
        <rFont val="Times New Roman"/>
        <family val="1"/>
      </rPr>
      <t xml:space="preserve"> competitive advantage. (better than industry or like the brands in food industry)</t>
    </r>
  </si>
  <si>
    <t>The streams are not complicated, but very complex to make any judgement</t>
  </si>
  <si>
    <t>Next Buy Price =</t>
  </si>
  <si>
    <t>Book Current Ratio</t>
  </si>
  <si>
    <t>Book Quick Ratio</t>
  </si>
  <si>
    <t>Book Cash Ratio</t>
  </si>
  <si>
    <t>ST Cash-debt Ratio</t>
  </si>
  <si>
    <t>LT Cash-debt Ratio</t>
  </si>
  <si>
    <t>Total Liabilities</t>
  </si>
  <si>
    <t>Debt to CE Ratio</t>
  </si>
  <si>
    <t>ST Quick Ratio</t>
  </si>
  <si>
    <t>LT Quick Ratio</t>
  </si>
  <si>
    <t>Allocation Analysis</t>
  </si>
  <si>
    <t>2. The probability of correctly forecasting the FCF based on the investment category</t>
  </si>
  <si>
    <t>1. The valuation quality rating (proxy of the "Error Term")</t>
  </si>
  <si>
    <t>A = Upside in event of a win</t>
  </si>
  <si>
    <t>B = Downside in event of a loss</t>
  </si>
  <si>
    <t>R = A/B</t>
  </si>
  <si>
    <t>W = The estimated probability of win</t>
  </si>
  <si>
    <t>3. The business quality rating (proxy for not overestimating the exit)</t>
  </si>
  <si>
    <t>capped at</t>
  </si>
  <si>
    <t>= Net Non-operating Assets per share</t>
  </si>
  <si>
    <t>Investment Checklist</t>
  </si>
  <si>
    <t>1. Value Trap</t>
  </si>
  <si>
    <t>2. Growth Trap</t>
  </si>
  <si>
    <t>Expected Equity Value =</t>
  </si>
  <si>
    <t>Worst Case Exit Price</t>
  </si>
  <si>
    <t>Ex-post Cost per share =</t>
  </si>
  <si>
    <t>Ex-ante</t>
  </si>
  <si>
    <t>Ex-post</t>
  </si>
  <si>
    <t>Kelly's Formula: [W – (1 – W)/R] / K, Where K =</t>
  </si>
  <si>
    <t>% Allocation</t>
  </si>
  <si>
    <t>Performance Target =</t>
  </si>
  <si>
    <t>b) It's far better to buy a wonderful company at a fair price than a fair company at a wonderful price, but it takes more efforts on research</t>
  </si>
  <si>
    <t>a) Don't buy a mediocre value stock with low trading volume and mediocre dividend</t>
  </si>
  <si>
    <t>a) Don't buy a High growth company with unproven products or products you don't trust</t>
  </si>
  <si>
    <t>b) Don't buy into unsustainable PE ratios</t>
  </si>
  <si>
    <t>Can it be Fixed?</t>
  </si>
  <si>
    <t>What Went Wrong?</t>
  </si>
  <si>
    <t>DuPont Formula</t>
  </si>
  <si>
    <t>EBIT / Sales</t>
  </si>
  <si>
    <t>Sales / Total Assets</t>
  </si>
  <si>
    <t>SGR = b * ROE</t>
  </si>
  <si>
    <t>non-perishable</t>
  </si>
  <si>
    <t>RI Model</t>
  </si>
  <si>
    <t>Interest Rate</t>
  </si>
  <si>
    <t>Owner's Earnings</t>
  </si>
  <si>
    <t>Owner's Earnings per share</t>
  </si>
  <si>
    <t>EVA</t>
  </si>
  <si>
    <t>EVA =  Owner's earnings - Cost of Capital Invested</t>
  </si>
  <si>
    <t>Owner's earnings = FCFE + net borrowing = FCFF - after tax Interest expense</t>
  </si>
  <si>
    <t>Cost of CI per share</t>
  </si>
  <si>
    <t>Cost of Capital Invested</t>
  </si>
  <si>
    <r>
      <rPr>
        <b/>
        <u/>
        <sz val="11"/>
        <color rgb="FF000000"/>
        <rFont val="Times New Roman"/>
        <family val="1"/>
      </rPr>
      <t>Equity Value</t>
    </r>
    <r>
      <rPr>
        <b/>
        <sz val="11"/>
        <color rgb="FF000000"/>
        <rFont val="Times New Roman"/>
        <family val="1"/>
      </rPr>
      <t xml:space="preserve"> using RI Model</t>
    </r>
  </si>
  <si>
    <t>Interest Bearing Debt</t>
  </si>
  <si>
    <t>Average Past Interest Bearing debt</t>
  </si>
  <si>
    <t>Frd. DPS</t>
  </si>
  <si>
    <t>PV of EVA</t>
  </si>
  <si>
    <t>Int(1 - tax rate)</t>
  </si>
  <si>
    <t>Tax Rate</t>
  </si>
  <si>
    <t>Achievable Market Exit Price</t>
  </si>
  <si>
    <t>Conservative Exit Price</t>
  </si>
  <si>
    <t>Conservative Exit Price =</t>
  </si>
  <si>
    <t>2% growth at Terminal year</t>
  </si>
  <si>
    <t>Orderly Liquidation Values =</t>
  </si>
  <si>
    <t>Orderly Liquidation Value per Shares =</t>
  </si>
  <si>
    <t>Augmenting the asset mdoel because RI Model can better value asset-light stocks</t>
  </si>
  <si>
    <t>+ Orderly Liquidation Value</t>
  </si>
  <si>
    <t>Target Return</t>
  </si>
  <si>
    <t>MOS =</t>
  </si>
  <si>
    <t>CN</t>
  </si>
  <si>
    <t>Yes</t>
  </si>
  <si>
    <t>Direct TV Inputs</t>
  </si>
  <si>
    <t>P/B</t>
  </si>
  <si>
    <t>LFY P/S</t>
  </si>
  <si>
    <t>Industrials, 15.4y</t>
  </si>
  <si>
    <t>DCF Model Ouput</t>
  </si>
  <si>
    <t>DCF Model</t>
  </si>
  <si>
    <t>P/B &amp; P/S Ratios:</t>
  </si>
  <si>
    <t>RI Model Output</t>
  </si>
  <si>
    <t>Expected Prices</t>
  </si>
  <si>
    <r>
      <rPr>
        <b/>
        <u/>
        <sz val="11"/>
        <color rgb="FF000000"/>
        <rFont val="Times New Roman"/>
        <family val="1"/>
      </rPr>
      <t>Equity Value</t>
    </r>
    <r>
      <rPr>
        <b/>
        <sz val="11"/>
        <color rgb="FF000000"/>
        <rFont val="Times New Roman"/>
        <family val="1"/>
      </rPr>
      <t xml:space="preserve"> using DCF Model</t>
    </r>
  </si>
  <si>
    <t>ROE</t>
  </si>
  <si>
    <t>4. The Company's Liquidity and leverage rating</t>
  </si>
  <si>
    <t>Cyclicals</t>
  </si>
  <si>
    <t>Despite a cylical one</t>
  </si>
  <si>
    <t>High Overhead</t>
  </si>
  <si>
    <t>High R&amp;D Requirement</t>
  </si>
  <si>
    <t>WCInv</t>
  </si>
  <si>
    <t>R&amp;D</t>
  </si>
  <si>
    <t>FCInv</t>
  </si>
  <si>
    <t>FCInv / Sales</t>
  </si>
  <si>
    <t>FCInv = Δ PP&amp;E + R&amp;D</t>
  </si>
  <si>
    <t>Reinvestment =</t>
  </si>
  <si>
    <t>b = FCInv/NOPAT</t>
  </si>
  <si>
    <t>Best in China, but still not good</t>
  </si>
  <si>
    <t>Value @</t>
  </si>
  <si>
    <t>ST AR + Contract Assets</t>
  </si>
  <si>
    <t>ST Financial Liabilities</t>
  </si>
  <si>
    <t>LT Financial Liabilities</t>
  </si>
  <si>
    <t>PP&amp;E</t>
  </si>
  <si>
    <t>其他</t>
  </si>
  <si>
    <t>Gross profit =</t>
  </si>
  <si>
    <t>收入增長</t>
  </si>
  <si>
    <t>毛利率对比</t>
  </si>
  <si>
    <t>销货成本率</t>
  </si>
  <si>
    <t>销售费+管理费用率</t>
  </si>
  <si>
    <t>税前财务费用率</t>
  </si>
  <si>
    <t>利润率</t>
  </si>
  <si>
    <t>Total Liabilities / Total Assets</t>
  </si>
  <si>
    <t>财务费用占比</t>
  </si>
  <si>
    <t>EBIT (千人民币)</t>
  </si>
  <si>
    <t>财务费用 (千人民币)</t>
  </si>
  <si>
    <t>财务费用分析：</t>
  </si>
  <si>
    <t>运营费用率</t>
  </si>
  <si>
    <t>利润</t>
  </si>
  <si>
    <t>资本投入</t>
  </si>
  <si>
    <t>现金分红</t>
  </si>
  <si>
    <t>回购</t>
  </si>
  <si>
    <t>M&amp;A</t>
  </si>
  <si>
    <t>并购</t>
  </si>
  <si>
    <t>Total Debt / Common Equity</t>
  </si>
  <si>
    <t>短期有息债 (千人民币)</t>
  </si>
  <si>
    <t>长期有息债 (千人民币)</t>
  </si>
  <si>
    <t>总有息债 / 账面股东权益</t>
  </si>
  <si>
    <t>Total Assets</t>
  </si>
  <si>
    <t>0710.HK</t>
  </si>
  <si>
    <t>BOE VARITRONIX</t>
  </si>
  <si>
    <t>ROE = EBIT / Total Equity</t>
  </si>
  <si>
    <t>Total Assets / Total Equity</t>
  </si>
  <si>
    <t>汽車TFT顯示屏產品和大中型顯示屏模組的龍頭</t>
  </si>
  <si>
    <t>1. 京東方的附屬公司, 其唯一車載顯示及系統運營平台
2. 呎吋大於8英吋的TFT-LCD顯示屏，取得了市場佔有率第一位
3. 建立強大的客戶網絡，並獲得主要汽車製造商的量產項目</t>
  </si>
  <si>
    <t>1. 京東方被美國制裁，多方面受制，難以開拓海外市場
2. 電子元器件因制裁導致短缺，或材料成本上漲</t>
  </si>
  <si>
    <t>1. 因制裁導業務受阻的可能性較低，關鍵零件國產率較高
2. 國内經濟下行
3. 根据“王氏定律”，每三年，液晶显示面板价格会下降50</t>
  </si>
  <si>
    <t>1. 預期汽車智能座艙顯示屏增長空間大
2. 目前液晶屏板价格上涨，高于成本价</t>
  </si>
  <si>
    <t>P/S</t>
  </si>
  <si>
    <t>Quarter</t>
  </si>
  <si>
    <t>ST Core-Monetary Asset</t>
  </si>
  <si>
    <t xml:space="preserve">LT Core-Monetary Asset </t>
  </si>
  <si>
    <t>ST Tangible Assets</t>
  </si>
  <si>
    <t>ST Non-tangible Assets</t>
  </si>
  <si>
    <t>ST Noncore-Monetary Asset</t>
  </si>
  <si>
    <t>LT Noncore-Monetary Asset</t>
  </si>
  <si>
    <t>LT Tangible Assets</t>
  </si>
  <si>
    <t>LT Non-tangible Assets</t>
  </si>
  <si>
    <t>ST Debt</t>
  </si>
  <si>
    <t>LT Debt</t>
  </si>
  <si>
    <t>%</t>
  </si>
  <si>
    <t>ST Current Ratio</t>
  </si>
  <si>
    <t>中国</t>
  </si>
  <si>
    <t>欧洲</t>
  </si>
  <si>
    <t>美洲</t>
  </si>
  <si>
    <t>韩国</t>
  </si>
  <si>
    <t>Chinese EV makers rapid expand production</t>
  </si>
  <si>
    <t>下游车厂价格战导致成本压力向上游传导，公司盈利能力明显下降</t>
  </si>
  <si>
    <t>1. 液晶面板价格21年上半年后转入了下行周期
2. 下游车厂打价格战</t>
  </si>
  <si>
    <t>1. 价格逐渐回升
2. No. 未来需求走势不可预测</t>
  </si>
  <si>
    <t>2. Sentiment Trap</t>
  </si>
  <si>
    <t>3 year range: 0.67 - 1.33</t>
  </si>
  <si>
    <t>b). Rely on bottom-up research to uncover bargains in a pessimistic market.</t>
  </si>
  <si>
    <t>a). It's our job as a value investor to catch the falling knife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</si>
</sst>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8">
    <numFmt numFmtId="164" formatCode="&quot;$&quot;#,##0_);[Red]\(&quot;$&quot;#,##0\)"/>
    <numFmt numFmtId="165" formatCode="&quot;$&quot;#,##0.00_);[Red]\(&quot;$&quot;#,##0.00\)"/>
    <numFmt numFmtId="166" formatCode="_(* #,##0.00_);_(* \(#,##0.00\);_(* &quot;-&quot;??_);_(@_)"/>
    <numFmt numFmtId="167" formatCode="yyyy\-mm\-dd"/>
    <numFmt numFmtId="168" formatCode="#,##0&quot;mm&quot;"/>
    <numFmt numFmtId="169" formatCode="#,##0.00&quot;x&quot;"/>
    <numFmt numFmtId="170" formatCode="0.00\x"/>
    <numFmt numFmtId="171" formatCode="&quot;Base Allocation &quot;0%"/>
    <numFmt numFmtId="172" formatCode="&quot;Increased Allocation &quot;0%"/>
    <numFmt numFmtId="173" formatCode="&quot;Last Allocation &quot;0%"/>
    <numFmt numFmtId="174" formatCode="[$$]#,##0&quot;m&quot;"/>
    <numFmt numFmtId="175" formatCode="&quot;Past &quot;0&quot; yrs Avg. NI&quot;"/>
    <numFmt numFmtId="176" formatCode="0.00&quot;x&quot;"/>
    <numFmt numFmtId="177" formatCode="&quot;Past &quot;0&quot; yrs Avg. NOPAT&quot;"/>
    <numFmt numFmtId="178" formatCode="#,##0;[Red]\(#,##0\);\-"/>
    <numFmt numFmtId="179" formatCode="&quot;Current Price = &quot;0.00"/>
    <numFmt numFmtId="180" formatCode="yyyy\-mm\-dd;@"/>
    <numFmt numFmtId="181" formatCode="_(* #,##0_);_(* \(#,##0\);_(* &quot;-&quot;??_);_(@_)"/>
    <numFmt numFmtId="182" formatCode="#,##0.00;[Red]#,##0.00"/>
    <numFmt numFmtId="183" formatCode="&quot;in&quot;\ 0\ &quot;Months&quot;"/>
    <numFmt numFmtId="184" formatCode="&quot;Breakeven Price = &quot;0.00"/>
    <numFmt numFmtId="185" formatCode="&quot;Next Buy Price = &quot;0.00"/>
    <numFmt numFmtId="186" formatCode="0.0%"/>
    <numFmt numFmtId="187" formatCode="&quot;FCFF per share = &quot;#,##0.00"/>
    <numFmt numFmtId="188" formatCode="&quot;CI = &quot;0.00"/>
    <numFmt numFmtId="189" formatCode="&quot;ω = &quot;0.00"/>
    <numFmt numFmtId="190" formatCode="&quot;Total &quot;0.00%"/>
    <numFmt numFmtId="191" formatCode="#,##0_ ;[Red]\-#,##0\ "/>
  </numFmts>
  <fonts count="35">
    <font>
      <sz val="10"/>
      <color rgb="FF000000"/>
      <name val="Arial"/>
      <scheme val="minor"/>
    </font>
    <font>
      <sz val="11"/>
      <color theme="1"/>
      <name val="Times New Roman"/>
      <family val="1"/>
    </font>
    <font>
      <sz val="11"/>
      <color rgb="FF0000FF"/>
      <name val="Times New Roman"/>
      <family val="1"/>
    </font>
    <font>
      <b/>
      <sz val="11"/>
      <color theme="1"/>
      <name val="Times New Roman"/>
      <family val="1"/>
    </font>
    <font>
      <b/>
      <sz val="11"/>
      <color rgb="FF0000FF"/>
      <name val="Times New Roman"/>
      <family val="1"/>
    </font>
    <font>
      <sz val="11"/>
      <color rgb="FF000000"/>
      <name val="Times New Roman"/>
      <family val="1"/>
    </font>
    <font>
      <b/>
      <sz val="11"/>
      <color rgb="FF002060"/>
      <name val="Times New Roman"/>
      <family val="1"/>
    </font>
    <font>
      <sz val="11"/>
      <name val="Times New Roman"/>
      <family val="1"/>
    </font>
    <font>
      <i/>
      <sz val="11"/>
      <color theme="1"/>
      <name val="Times New Roman"/>
      <family val="1"/>
    </font>
    <font>
      <sz val="11"/>
      <color rgb="FFA61C00"/>
      <name val="Times New Roman"/>
      <family val="1"/>
    </font>
    <font>
      <sz val="11"/>
      <color rgb="FFFFFFFF"/>
      <name val="Times New Roman"/>
      <family val="1"/>
    </font>
    <font>
      <i/>
      <sz val="11"/>
      <color rgb="FF0000FF"/>
      <name val="Times New Roman"/>
      <family val="1"/>
    </font>
    <font>
      <i/>
      <sz val="11"/>
      <color rgb="FF000000"/>
      <name val="Times New Roman"/>
      <family val="1"/>
    </font>
    <font>
      <sz val="11"/>
      <color rgb="FFC00000"/>
      <name val="Times New Roman"/>
      <family val="1"/>
    </font>
    <font>
      <b/>
      <sz val="12"/>
      <color rgb="FF002060"/>
      <name val="Times New Roman"/>
      <family val="1"/>
    </font>
    <font>
      <b/>
      <sz val="11"/>
      <color rgb="FF000000"/>
      <name val="Times New Roman"/>
      <family val="1"/>
    </font>
    <font>
      <b/>
      <u/>
      <sz val="11"/>
      <color rgb="FF000000"/>
      <name val="Times New Roman"/>
      <family val="1"/>
    </font>
    <font>
      <b/>
      <sz val="11"/>
      <color rgb="FFFFFFFF"/>
      <name val="Times New Roman"/>
      <family val="1"/>
    </font>
    <font>
      <sz val="11"/>
      <color theme="0"/>
      <name val="Times New Roman"/>
      <family val="1"/>
    </font>
    <font>
      <sz val="11"/>
      <color rgb="FF002060"/>
      <name val="Times New Roman"/>
      <family val="1"/>
    </font>
    <font>
      <b/>
      <i/>
      <u/>
      <sz val="11"/>
      <color rgb="FF000000"/>
      <name val="Times New Roman"/>
      <family val="1"/>
    </font>
    <font>
      <b/>
      <i/>
      <sz val="11"/>
      <color rgb="FF000000"/>
      <name val="Times New Roman"/>
      <family val="1"/>
    </font>
    <font>
      <b/>
      <i/>
      <u/>
      <sz val="11"/>
      <color theme="1"/>
      <name val="Times New Roman"/>
      <family val="1"/>
    </font>
    <font>
      <b/>
      <sz val="11"/>
      <color theme="0"/>
      <name val="Times New Roman"/>
      <family val="1"/>
    </font>
    <font>
      <u/>
      <sz val="11"/>
      <color rgb="FF000000"/>
      <name val="Times New Roman"/>
      <family val="1"/>
    </font>
    <font>
      <i/>
      <sz val="11"/>
      <color rgb="FF002060"/>
      <name val="Times New Roman"/>
      <family val="1"/>
    </font>
    <font>
      <sz val="10"/>
      <color rgb="FF000000"/>
      <name val="Arial"/>
      <family val="2"/>
      <scheme val="minor"/>
    </font>
    <font>
      <b/>
      <sz val="11"/>
      <name val="Times New Roman"/>
      <family val="1"/>
    </font>
    <font>
      <u/>
      <sz val="10"/>
      <color theme="10"/>
      <name val="Arial"/>
      <family val="2"/>
      <scheme val="minor"/>
    </font>
    <font>
      <i/>
      <sz val="11"/>
      <name val="Times New Roman"/>
      <family val="1"/>
    </font>
    <font>
      <sz val="11"/>
      <color theme="2" tint="-0.14999847407452621"/>
      <name val="Times New Roman"/>
      <family val="1"/>
    </font>
    <font>
      <sz val="9"/>
      <name val="Arial"/>
      <family val="3"/>
      <charset val="134"/>
      <scheme val="minor"/>
    </font>
    <font>
      <u/>
      <sz val="11"/>
      <color theme="1"/>
      <name val="Times New Roman"/>
      <family val="1"/>
    </font>
    <font>
      <b/>
      <sz val="10"/>
      <color rgb="FF000000"/>
      <name val="Arial"/>
      <family val="2"/>
      <scheme val="minor"/>
    </font>
    <font>
      <b/>
      <sz val="12"/>
      <color theme="0"/>
      <name val="Times New Roman"/>
      <family val="1"/>
    </font>
  </fonts>
  <fills count="25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  <fill>
      <patternFill patternType="solid">
        <fgColor rgb="FF1C4587"/>
        <bgColor rgb="FF1C4587"/>
      </patternFill>
    </fill>
    <fill>
      <patternFill patternType="solid">
        <fgColor rgb="FFCCCCCC"/>
        <bgColor rgb="FFCCCCCC"/>
      </patternFill>
    </fill>
    <fill>
      <patternFill patternType="solid">
        <fgColor rgb="FF00206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FFCC"/>
        <bgColor rgb="FFFFE599"/>
      </patternFill>
    </fill>
    <fill>
      <patternFill patternType="solid">
        <fgColor theme="2" tint="-0.14999847407452621"/>
        <bgColor indexed="64"/>
      </patternFill>
    </fill>
    <fill>
      <patternFill patternType="solid">
        <fgColor theme="2" tint="-0.14999847407452621"/>
        <bgColor rgb="FFB7B7B7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B6D7A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rgb="FFB6D7A8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59999389629810485"/>
        <bgColor rgb="FFA4C2F4"/>
      </patternFill>
    </fill>
    <fill>
      <patternFill patternType="solid">
        <fgColor theme="6" tint="0.59999389629810485"/>
        <bgColor rgb="FFFFE599"/>
      </patternFill>
    </fill>
    <fill>
      <patternFill patternType="solid">
        <fgColor rgb="FFFFFFCC"/>
        <bgColor rgb="FFB7B7B7"/>
      </patternFill>
    </fill>
    <fill>
      <patternFill patternType="solid">
        <fgColor theme="6" tint="0.59999389629810485"/>
        <bgColor rgb="FFB6D7A8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 tint="-4.9989318521683403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14999847407452621"/>
        <bgColor rgb="FFB7B7B7"/>
      </patternFill>
    </fill>
  </fills>
  <borders count="39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 style="double">
        <color rgb="FF000000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dotted">
        <color rgb="FF000000"/>
      </left>
      <right style="dotted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 style="double">
        <color indexed="64"/>
      </bottom>
      <diagonal/>
    </border>
    <border>
      <left style="dotted">
        <color rgb="FF000000"/>
      </left>
      <right style="dotted">
        <color rgb="FF000000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dotted">
        <color indexed="64"/>
      </left>
      <right/>
      <top style="thin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thin">
        <color indexed="64"/>
      </bottom>
      <diagonal/>
    </border>
    <border>
      <left/>
      <right style="dotted">
        <color indexed="64"/>
      </right>
      <top style="thin">
        <color indexed="64"/>
      </top>
      <bottom style="thin">
        <color indexed="64"/>
      </bottom>
      <diagonal/>
    </border>
    <border>
      <left/>
      <right style="dotted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dotted">
        <color indexed="64"/>
      </right>
      <top style="double">
        <color indexed="64"/>
      </top>
      <bottom style="thin">
        <color indexed="64"/>
      </bottom>
      <diagonal/>
    </border>
    <border>
      <left style="dotted">
        <color indexed="64"/>
      </left>
      <right/>
      <top style="double">
        <color indexed="64"/>
      </top>
      <bottom style="thin">
        <color indexed="64"/>
      </bottom>
      <diagonal/>
    </border>
    <border>
      <left style="dotted">
        <color rgb="FF000000"/>
      </left>
      <right/>
      <top style="dotted">
        <color indexed="64"/>
      </top>
      <bottom style="double">
        <color indexed="64"/>
      </bottom>
      <diagonal/>
    </border>
    <border>
      <left/>
      <right style="dotted">
        <color indexed="64"/>
      </right>
      <top style="dotted">
        <color indexed="64"/>
      </top>
      <bottom style="double">
        <color indexed="64"/>
      </bottom>
      <diagonal/>
    </border>
    <border>
      <left style="double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/>
      <diagonal/>
    </border>
    <border>
      <left style="double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3">
    <xf numFmtId="0" fontId="0" fillId="0" borderId="0"/>
    <xf numFmtId="166" fontId="26" fillId="0" borderId="0" applyFont="0" applyFill="0" applyBorder="0" applyAlignment="0" applyProtection="0"/>
    <xf numFmtId="0" fontId="28" fillId="0" borderId="0" applyNumberFormat="0" applyFill="0" applyBorder="0" applyAlignment="0" applyProtection="0"/>
  </cellStyleXfs>
  <cellXfs count="391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5" fillId="0" borderId="0" xfId="0" applyFont="1"/>
    <xf numFmtId="0" fontId="5" fillId="6" borderId="0" xfId="0" applyFont="1" applyFill="1"/>
    <xf numFmtId="0" fontId="1" fillId="0" borderId="9" xfId="0" applyFont="1" applyBorder="1"/>
    <xf numFmtId="0" fontId="5" fillId="0" borderId="9" xfId="0" applyFont="1" applyBorder="1"/>
    <xf numFmtId="0" fontId="1" fillId="0" borderId="1" xfId="0" applyFont="1" applyBorder="1"/>
    <xf numFmtId="0" fontId="1" fillId="0" borderId="2" xfId="0" applyFont="1" applyBorder="1"/>
    <xf numFmtId="0" fontId="1" fillId="3" borderId="9" xfId="0" applyFont="1" applyFill="1" applyBorder="1"/>
    <xf numFmtId="0" fontId="5" fillId="6" borderId="9" xfId="0" applyFont="1" applyFill="1" applyBorder="1"/>
    <xf numFmtId="0" fontId="14" fillId="0" borderId="2" xfId="0" applyFont="1" applyBorder="1"/>
    <xf numFmtId="0" fontId="5" fillId="0" borderId="2" xfId="0" applyFont="1" applyBorder="1"/>
    <xf numFmtId="0" fontId="9" fillId="0" borderId="9" xfId="0" applyFont="1" applyBorder="1"/>
    <xf numFmtId="0" fontId="8" fillId="0" borderId="9" xfId="0" applyFont="1" applyBorder="1" applyAlignment="1">
      <alignment horizontal="right"/>
    </xf>
    <xf numFmtId="0" fontId="1" fillId="0" borderId="9" xfId="0" applyFont="1" applyBorder="1" applyAlignment="1">
      <alignment horizontal="left"/>
    </xf>
    <xf numFmtId="0" fontId="6" fillId="0" borderId="2" xfId="0" applyFont="1" applyBorder="1"/>
    <xf numFmtId="0" fontId="15" fillId="7" borderId="9" xfId="0" applyFont="1" applyFill="1" applyBorder="1"/>
    <xf numFmtId="0" fontId="1" fillId="0" borderId="9" xfId="0" applyFont="1" applyBorder="1" applyAlignment="1">
      <alignment horizontal="center"/>
    </xf>
    <xf numFmtId="0" fontId="1" fillId="0" borderId="9" xfId="0" applyFont="1" applyBorder="1" applyAlignment="1">
      <alignment horizontal="center" vertical="center"/>
    </xf>
    <xf numFmtId="0" fontId="16" fillId="7" borderId="9" xfId="0" applyFont="1" applyFill="1" applyBorder="1"/>
    <xf numFmtId="0" fontId="12" fillId="0" borderId="2" xfId="0" applyFont="1" applyBorder="1" applyAlignment="1">
      <alignment horizontal="right"/>
    </xf>
    <xf numFmtId="0" fontId="5" fillId="0" borderId="9" xfId="0" applyFont="1" applyBorder="1" applyAlignment="1">
      <alignment horizontal="center"/>
    </xf>
    <xf numFmtId="0" fontId="3" fillId="3" borderId="9" xfId="0" applyFont="1" applyFill="1" applyBorder="1"/>
    <xf numFmtId="0" fontId="17" fillId="0" borderId="0" xfId="0" applyFont="1"/>
    <xf numFmtId="0" fontId="10" fillId="0" borderId="0" xfId="0" applyFont="1"/>
    <xf numFmtId="0" fontId="3" fillId="6" borderId="9" xfId="0" applyFont="1" applyFill="1" applyBorder="1"/>
    <xf numFmtId="0" fontId="10" fillId="0" borderId="2" xfId="0" applyFont="1" applyBorder="1"/>
    <xf numFmtId="177" fontId="7" fillId="0" borderId="9" xfId="0" applyNumberFormat="1" applyFont="1" applyBorder="1" applyAlignment="1">
      <alignment horizontal="left"/>
    </xf>
    <xf numFmtId="0" fontId="1" fillId="0" borderId="9" xfId="0" applyFont="1" applyBorder="1" applyAlignment="1">
      <alignment wrapText="1"/>
    </xf>
    <xf numFmtId="0" fontId="3" fillId="0" borderId="0" xfId="0" applyFont="1" applyAlignment="1">
      <alignment horizontal="center"/>
    </xf>
    <xf numFmtId="0" fontId="10" fillId="0" borderId="9" xfId="0" applyFont="1" applyBorder="1"/>
    <xf numFmtId="0" fontId="1" fillId="0" borderId="0" xfId="0" applyFont="1"/>
    <xf numFmtId="0" fontId="1" fillId="0" borderId="6" xfId="0" applyFont="1" applyBorder="1"/>
    <xf numFmtId="0" fontId="1" fillId="0" borderId="5" xfId="0" applyFont="1" applyBorder="1"/>
    <xf numFmtId="3" fontId="1" fillId="0" borderId="0" xfId="0" applyNumberFormat="1" applyFont="1" applyAlignment="1">
      <alignment horizontal="center"/>
    </xf>
    <xf numFmtId="10" fontId="1" fillId="0" borderId="0" xfId="0" applyNumberFormat="1" applyFont="1" applyAlignment="1">
      <alignment horizontal="center"/>
    </xf>
    <xf numFmtId="0" fontId="1" fillId="0" borderId="0" xfId="0" quotePrefix="1" applyFont="1"/>
    <xf numFmtId="0" fontId="15" fillId="0" borderId="9" xfId="0" applyFont="1" applyBorder="1" applyAlignment="1">
      <alignment horizontal="center"/>
    </xf>
    <xf numFmtId="10" fontId="2" fillId="0" borderId="9" xfId="0" applyNumberFormat="1" applyFont="1" applyBorder="1" applyAlignment="1">
      <alignment horizontal="center"/>
    </xf>
    <xf numFmtId="0" fontId="1" fillId="5" borderId="9" xfId="0" applyFont="1" applyFill="1" applyBorder="1"/>
    <xf numFmtId="0" fontId="8" fillId="0" borderId="9" xfId="0" applyFont="1" applyBorder="1"/>
    <xf numFmtId="0" fontId="16" fillId="0" borderId="0" xfId="0" applyFont="1"/>
    <xf numFmtId="0" fontId="2" fillId="0" borderId="0" xfId="0" applyFont="1"/>
    <xf numFmtId="0" fontId="3" fillId="0" borderId="9" xfId="0" applyFont="1" applyBorder="1"/>
    <xf numFmtId="10" fontId="2" fillId="0" borderId="0" xfId="0" applyNumberFormat="1" applyFont="1" applyAlignment="1">
      <alignment horizontal="left"/>
    </xf>
    <xf numFmtId="10" fontId="2" fillId="0" borderId="0" xfId="0" applyNumberFormat="1" applyFont="1" applyAlignment="1">
      <alignment horizontal="center"/>
    </xf>
    <xf numFmtId="3" fontId="2" fillId="0" borderId="0" xfId="0" applyNumberFormat="1" applyFont="1" applyAlignment="1">
      <alignment horizontal="left"/>
    </xf>
    <xf numFmtId="3" fontId="2" fillId="0" borderId="0" xfId="0" applyNumberFormat="1" applyFont="1" applyAlignment="1">
      <alignment horizontal="center"/>
    </xf>
    <xf numFmtId="3" fontId="2" fillId="0" borderId="9" xfId="0" applyNumberFormat="1" applyFont="1" applyBorder="1" applyAlignment="1">
      <alignment horizontal="center"/>
    </xf>
    <xf numFmtId="0" fontId="8" fillId="0" borderId="10" xfId="0" applyFont="1" applyBorder="1" applyAlignment="1">
      <alignment horizontal="right"/>
    </xf>
    <xf numFmtId="3" fontId="1" fillId="0" borderId="9" xfId="0" applyNumberFormat="1" applyFont="1" applyBorder="1" applyAlignment="1">
      <alignment horizontal="center"/>
    </xf>
    <xf numFmtId="0" fontId="5" fillId="0" borderId="0" xfId="0" quotePrefix="1" applyFont="1"/>
    <xf numFmtId="0" fontId="16" fillId="0" borderId="0" xfId="0" applyFont="1" applyAlignment="1">
      <alignment horizontal="left"/>
    </xf>
    <xf numFmtId="10" fontId="5" fillId="0" borderId="9" xfId="0" applyNumberFormat="1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14" fillId="0" borderId="2" xfId="0" applyFont="1" applyBorder="1" applyAlignment="1">
      <alignment vertical="center"/>
    </xf>
    <xf numFmtId="0" fontId="3" fillId="0" borderId="0" xfId="0" applyFont="1"/>
    <xf numFmtId="0" fontId="18" fillId="0" borderId="9" xfId="0" applyFont="1" applyBorder="1"/>
    <xf numFmtId="0" fontId="17" fillId="0" borderId="2" xfId="0" applyFont="1" applyBorder="1"/>
    <xf numFmtId="0" fontId="15" fillId="0" borderId="9" xfId="0" applyFont="1" applyBorder="1"/>
    <xf numFmtId="0" fontId="21" fillId="0" borderId="0" xfId="0" applyFont="1"/>
    <xf numFmtId="0" fontId="22" fillId="0" borderId="0" xfId="0" applyFont="1"/>
    <xf numFmtId="0" fontId="18" fillId="0" borderId="9" xfId="0" applyFont="1" applyBorder="1" applyAlignment="1">
      <alignment horizontal="center"/>
    </xf>
    <xf numFmtId="10" fontId="10" fillId="0" borderId="9" xfId="0" applyNumberFormat="1" applyFont="1" applyBorder="1"/>
    <xf numFmtId="1" fontId="18" fillId="0" borderId="9" xfId="0" applyNumberFormat="1" applyFont="1" applyBorder="1" applyAlignment="1">
      <alignment horizontal="center"/>
    </xf>
    <xf numFmtId="10" fontId="18" fillId="0" borderId="9" xfId="0" applyNumberFormat="1" applyFont="1" applyBorder="1"/>
    <xf numFmtId="0" fontId="23" fillId="0" borderId="4" xfId="0" applyFont="1" applyBorder="1"/>
    <xf numFmtId="0" fontId="18" fillId="0" borderId="0" xfId="0" applyFont="1"/>
    <xf numFmtId="0" fontId="18" fillId="0" borderId="3" xfId="0" applyFont="1" applyBorder="1"/>
    <xf numFmtId="0" fontId="18" fillId="0" borderId="4" xfId="0" applyFont="1" applyBorder="1"/>
    <xf numFmtId="10" fontId="18" fillId="0" borderId="3" xfId="0" applyNumberFormat="1" applyFont="1" applyBorder="1"/>
    <xf numFmtId="0" fontId="18" fillId="0" borderId="7" xfId="0" applyFont="1" applyBorder="1"/>
    <xf numFmtId="0" fontId="18" fillId="0" borderId="2" xfId="0" applyFont="1" applyBorder="1"/>
    <xf numFmtId="10" fontId="18" fillId="0" borderId="8" xfId="0" applyNumberFormat="1" applyFont="1" applyBorder="1"/>
    <xf numFmtId="0" fontId="1" fillId="11" borderId="15" xfId="0" applyFont="1" applyFill="1" applyBorder="1" applyAlignment="1">
      <alignment horizontal="center"/>
    </xf>
    <xf numFmtId="0" fontId="5" fillId="0" borderId="12" xfId="0" applyFont="1" applyBorder="1"/>
    <xf numFmtId="0" fontId="2" fillId="0" borderId="9" xfId="0" applyFont="1" applyBorder="1"/>
    <xf numFmtId="0" fontId="1" fillId="12" borderId="9" xfId="0" applyFont="1" applyFill="1" applyBorder="1"/>
    <xf numFmtId="0" fontId="13" fillId="0" borderId="9" xfId="0" applyFont="1" applyBorder="1"/>
    <xf numFmtId="10" fontId="18" fillId="0" borderId="9" xfId="0" applyNumberFormat="1" applyFont="1" applyBorder="1" applyAlignment="1">
      <alignment horizontal="center"/>
    </xf>
    <xf numFmtId="0" fontId="15" fillId="0" borderId="11" xfId="0" applyFont="1" applyBorder="1" applyAlignment="1">
      <alignment horizontal="center"/>
    </xf>
    <xf numFmtId="179" fontId="15" fillId="0" borderId="9" xfId="0" applyNumberFormat="1" applyFont="1" applyBorder="1" applyAlignment="1">
      <alignment horizontal="center"/>
    </xf>
    <xf numFmtId="0" fontId="5" fillId="7" borderId="0" xfId="0" applyFont="1" applyFill="1"/>
    <xf numFmtId="0" fontId="5" fillId="0" borderId="11" xfId="0" applyFont="1" applyBorder="1"/>
    <xf numFmtId="0" fontId="1" fillId="0" borderId="11" xfId="0" applyFont="1" applyBorder="1"/>
    <xf numFmtId="0" fontId="5" fillId="0" borderId="17" xfId="0" applyFont="1" applyBorder="1"/>
    <xf numFmtId="0" fontId="5" fillId="0" borderId="0" xfId="0" applyFont="1" applyAlignment="1">
      <alignment horizontal="center"/>
    </xf>
    <xf numFmtId="4" fontId="5" fillId="0" borderId="21" xfId="0" applyNumberFormat="1" applyFont="1" applyBorder="1" applyAlignment="1">
      <alignment horizontal="center"/>
    </xf>
    <xf numFmtId="4" fontId="1" fillId="0" borderId="20" xfId="0" applyNumberFormat="1" applyFont="1" applyBorder="1" applyAlignment="1">
      <alignment horizontal="center"/>
    </xf>
    <xf numFmtId="4" fontId="5" fillId="0" borderId="9" xfId="0" applyNumberFormat="1" applyFont="1" applyBorder="1"/>
    <xf numFmtId="181" fontId="5" fillId="0" borderId="0" xfId="1" applyNumberFormat="1" applyFont="1"/>
    <xf numFmtId="166" fontId="5" fillId="0" borderId="0" xfId="1" applyFont="1"/>
    <xf numFmtId="4" fontId="5" fillId="0" borderId="0" xfId="0" applyNumberFormat="1" applyFont="1"/>
    <xf numFmtId="3" fontId="2" fillId="0" borderId="9" xfId="0" applyNumberFormat="1" applyFont="1" applyBorder="1"/>
    <xf numFmtId="3" fontId="7" fillId="0" borderId="9" xfId="0" applyNumberFormat="1" applyFont="1" applyBorder="1" applyAlignment="1">
      <alignment horizontal="center"/>
    </xf>
    <xf numFmtId="10" fontId="5" fillId="0" borderId="12" xfId="0" applyNumberFormat="1" applyFont="1" applyBorder="1" applyAlignment="1">
      <alignment horizontal="center"/>
    </xf>
    <xf numFmtId="175" fontId="2" fillId="18" borderId="9" xfId="0" applyNumberFormat="1" applyFont="1" applyFill="1" applyBorder="1" applyAlignment="1">
      <alignment horizontal="left"/>
    </xf>
    <xf numFmtId="4" fontId="5" fillId="0" borderId="11" xfId="0" applyNumberFormat="1" applyFont="1" applyBorder="1" applyAlignment="1">
      <alignment horizontal="center"/>
    </xf>
    <xf numFmtId="10" fontId="27" fillId="0" borderId="11" xfId="0" applyNumberFormat="1" applyFont="1" applyBorder="1" applyAlignment="1">
      <alignment horizontal="center"/>
    </xf>
    <xf numFmtId="0" fontId="12" fillId="0" borderId="0" xfId="0" applyFont="1"/>
    <xf numFmtId="3" fontId="1" fillId="10" borderId="9" xfId="0" applyNumberFormat="1" applyFont="1" applyFill="1" applyBorder="1" applyAlignment="1">
      <alignment horizontal="center"/>
    </xf>
    <xf numFmtId="10" fontId="1" fillId="10" borderId="9" xfId="0" applyNumberFormat="1" applyFont="1" applyFill="1" applyBorder="1" applyAlignment="1">
      <alignment horizontal="center"/>
    </xf>
    <xf numFmtId="3" fontId="1" fillId="11" borderId="15" xfId="0" applyNumberFormat="1" applyFont="1" applyFill="1" applyBorder="1" applyAlignment="1">
      <alignment horizontal="center"/>
    </xf>
    <xf numFmtId="0" fontId="5" fillId="0" borderId="11" xfId="0" applyFont="1" applyBorder="1" applyAlignment="1">
      <alignment horizontal="left"/>
    </xf>
    <xf numFmtId="0" fontId="15" fillId="0" borderId="9" xfId="0" applyFont="1" applyBorder="1" applyAlignment="1">
      <alignment horizontal="left"/>
    </xf>
    <xf numFmtId="182" fontId="5" fillId="0" borderId="0" xfId="0" applyNumberFormat="1" applyFont="1" applyAlignment="1">
      <alignment horizontal="left"/>
    </xf>
    <xf numFmtId="0" fontId="12" fillId="0" borderId="9" xfId="0" applyFont="1" applyBorder="1" applyAlignment="1">
      <alignment horizontal="right"/>
    </xf>
    <xf numFmtId="0" fontId="15" fillId="21" borderId="9" xfId="0" applyFont="1" applyFill="1" applyBorder="1" applyAlignment="1">
      <alignment horizontal="center"/>
    </xf>
    <xf numFmtId="0" fontId="28" fillId="0" borderId="9" xfId="2" applyBorder="1"/>
    <xf numFmtId="0" fontId="14" fillId="0" borderId="2" xfId="0" applyFont="1" applyBorder="1" applyAlignment="1">
      <alignment horizontal="left"/>
    </xf>
    <xf numFmtId="0" fontId="14" fillId="0" borderId="11" xfId="0" applyFont="1" applyBorder="1" applyAlignment="1">
      <alignment horizontal="left"/>
    </xf>
    <xf numFmtId="0" fontId="15" fillId="0" borderId="0" xfId="0" applyFont="1" applyAlignment="1">
      <alignment horizontal="center"/>
    </xf>
    <xf numFmtId="180" fontId="18" fillId="4" borderId="5" xfId="0" applyNumberFormat="1" applyFont="1" applyFill="1" applyBorder="1" applyAlignment="1">
      <alignment horizontal="center"/>
    </xf>
    <xf numFmtId="180" fontId="18" fillId="4" borderId="14" xfId="0" applyNumberFormat="1" applyFont="1" applyFill="1" applyBorder="1" applyAlignment="1">
      <alignment horizontal="center"/>
    </xf>
    <xf numFmtId="0" fontId="15" fillId="0" borderId="2" xfId="0" applyFont="1" applyBorder="1" applyAlignment="1">
      <alignment horizontal="center"/>
    </xf>
    <xf numFmtId="184" fontId="27" fillId="0" borderId="9" xfId="0" applyNumberFormat="1" applyFont="1" applyBorder="1" applyAlignment="1">
      <alignment horizontal="center"/>
    </xf>
    <xf numFmtId="0" fontId="15" fillId="0" borderId="0" xfId="0" applyFont="1"/>
    <xf numFmtId="0" fontId="29" fillId="0" borderId="9" xfId="0" applyFont="1" applyBorder="1" applyAlignment="1">
      <alignment horizontal="right"/>
    </xf>
    <xf numFmtId="0" fontId="2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12" fillId="0" borderId="2" xfId="0" applyFont="1" applyBorder="1" applyAlignment="1">
      <alignment horizontal="center"/>
    </xf>
    <xf numFmtId="10" fontId="2" fillId="8" borderId="13" xfId="0" applyNumberFormat="1" applyFont="1" applyFill="1" applyBorder="1" applyAlignment="1">
      <alignment horizontal="center"/>
    </xf>
    <xf numFmtId="0" fontId="12" fillId="0" borderId="11" xfId="0" applyFont="1" applyBorder="1" applyAlignment="1">
      <alignment horizontal="center"/>
    </xf>
    <xf numFmtId="0" fontId="1" fillId="0" borderId="15" xfId="0" quotePrefix="1" applyFont="1" applyBorder="1" applyAlignment="1">
      <alignment horizontal="left"/>
    </xf>
    <xf numFmtId="0" fontId="1" fillId="0" borderId="25" xfId="0" applyFont="1" applyBorder="1" applyAlignment="1">
      <alignment horizontal="right"/>
    </xf>
    <xf numFmtId="0" fontId="7" fillId="0" borderId="9" xfId="0" applyFont="1" applyBorder="1"/>
    <xf numFmtId="0" fontId="15" fillId="0" borderId="11" xfId="0" applyFont="1" applyBorder="1"/>
    <xf numFmtId="180" fontId="18" fillId="0" borderId="9" xfId="0" applyNumberFormat="1" applyFont="1" applyBorder="1" applyAlignment="1">
      <alignment horizontal="center"/>
    </xf>
    <xf numFmtId="185" fontId="27" fillId="0" borderId="11" xfId="0" applyNumberFormat="1" applyFont="1" applyBorder="1" applyAlignment="1">
      <alignment horizontal="center"/>
    </xf>
    <xf numFmtId="3" fontId="7" fillId="0" borderId="9" xfId="0" applyNumberFormat="1" applyFont="1" applyBorder="1"/>
    <xf numFmtId="186" fontId="18" fillId="0" borderId="9" xfId="0" applyNumberFormat="1" applyFont="1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15" fillId="21" borderId="29" xfId="0" applyFont="1" applyFill="1" applyBorder="1" applyAlignment="1">
      <alignment horizontal="center"/>
    </xf>
    <xf numFmtId="0" fontId="15" fillId="0" borderId="11" xfId="0" applyFont="1" applyBorder="1" applyAlignment="1">
      <alignment horizontal="left"/>
    </xf>
    <xf numFmtId="0" fontId="16" fillId="0" borderId="9" xfId="0" applyFont="1" applyBorder="1"/>
    <xf numFmtId="10" fontId="15" fillId="0" borderId="31" xfId="0" applyNumberFormat="1" applyFont="1" applyBorder="1" applyAlignment="1">
      <alignment horizontal="center"/>
    </xf>
    <xf numFmtId="0" fontId="24" fillId="0" borderId="0" xfId="0" applyFont="1"/>
    <xf numFmtId="0" fontId="1" fillId="0" borderId="11" xfId="0" applyFont="1" applyBorder="1" applyAlignment="1">
      <alignment horizontal="center" vertical="center"/>
    </xf>
    <xf numFmtId="4" fontId="1" fillId="0" borderId="9" xfId="0" applyNumberFormat="1" applyFont="1" applyBorder="1" applyAlignment="1">
      <alignment horizontal="center"/>
    </xf>
    <xf numFmtId="0" fontId="27" fillId="0" borderId="9" xfId="0" applyFont="1" applyBorder="1" applyAlignment="1">
      <alignment horizontal="center" wrapText="1"/>
    </xf>
    <xf numFmtId="0" fontId="12" fillId="0" borderId="0" xfId="0" applyFont="1" applyAlignment="1">
      <alignment horizontal="right"/>
    </xf>
    <xf numFmtId="0" fontId="5" fillId="0" borderId="15" xfId="0" quotePrefix="1" applyFont="1" applyBorder="1"/>
    <xf numFmtId="4" fontId="5" fillId="13" borderId="30" xfId="0" applyNumberFormat="1" applyFont="1" applyFill="1" applyBorder="1" applyAlignment="1">
      <alignment horizontal="center"/>
    </xf>
    <xf numFmtId="10" fontId="1" fillId="11" borderId="9" xfId="0" applyNumberFormat="1" applyFont="1" applyFill="1" applyBorder="1" applyAlignment="1">
      <alignment horizontal="center"/>
    </xf>
    <xf numFmtId="2" fontId="1" fillId="11" borderId="11" xfId="0" applyNumberFormat="1" applyFont="1" applyFill="1" applyBorder="1" applyAlignment="1">
      <alignment horizontal="center"/>
    </xf>
    <xf numFmtId="0" fontId="1" fillId="23" borderId="10" xfId="0" applyFont="1" applyFill="1" applyBorder="1" applyAlignment="1">
      <alignment horizontal="left"/>
    </xf>
    <xf numFmtId="0" fontId="2" fillId="8" borderId="9" xfId="0" applyFont="1" applyFill="1" applyBorder="1"/>
    <xf numFmtId="3" fontId="2" fillId="9" borderId="9" xfId="0" applyNumberFormat="1" applyFont="1" applyFill="1" applyBorder="1" applyAlignment="1">
      <alignment horizontal="center"/>
    </xf>
    <xf numFmtId="10" fontId="1" fillId="0" borderId="9" xfId="0" applyNumberFormat="1" applyFont="1" applyBorder="1" applyAlignment="1">
      <alignment horizontal="center"/>
    </xf>
    <xf numFmtId="3" fontId="2" fillId="15" borderId="9" xfId="0" applyNumberFormat="1" applyFont="1" applyFill="1" applyBorder="1" applyAlignment="1">
      <alignment horizontal="center"/>
    </xf>
    <xf numFmtId="3" fontId="11" fillId="15" borderId="9" xfId="0" quotePrefix="1" applyNumberFormat="1" applyFont="1" applyFill="1" applyBorder="1" applyAlignment="1">
      <alignment horizontal="right"/>
    </xf>
    <xf numFmtId="3" fontId="11" fillId="9" borderId="9" xfId="0" applyNumberFormat="1" applyFont="1" applyFill="1" applyBorder="1" applyAlignment="1">
      <alignment horizontal="right"/>
    </xf>
    <xf numFmtId="3" fontId="11" fillId="15" borderId="9" xfId="0" applyNumberFormat="1" applyFont="1" applyFill="1" applyBorder="1" applyAlignment="1">
      <alignment horizontal="right"/>
    </xf>
    <xf numFmtId="3" fontId="1" fillId="13" borderId="9" xfId="0" applyNumberFormat="1" applyFont="1" applyFill="1" applyBorder="1" applyAlignment="1">
      <alignment horizontal="center"/>
    </xf>
    <xf numFmtId="0" fontId="19" fillId="0" borderId="9" xfId="0" applyFont="1" applyBorder="1" applyAlignment="1">
      <alignment horizontal="center" wrapText="1"/>
    </xf>
    <xf numFmtId="0" fontId="25" fillId="0" borderId="9" xfId="0" applyFont="1" applyBorder="1" applyAlignment="1">
      <alignment horizontal="right" wrapText="1"/>
    </xf>
    <xf numFmtId="0" fontId="19" fillId="0" borderId="11" xfId="0" applyFont="1" applyBorder="1" applyAlignment="1">
      <alignment horizontal="center" wrapText="1"/>
    </xf>
    <xf numFmtId="10" fontId="1" fillId="0" borderId="11" xfId="0" applyNumberFormat="1" applyFont="1" applyBorder="1" applyAlignment="1">
      <alignment horizontal="center"/>
    </xf>
    <xf numFmtId="0" fontId="19" fillId="0" borderId="12" xfId="0" applyFont="1" applyBorder="1" applyAlignment="1">
      <alignment horizontal="center" wrapText="1"/>
    </xf>
    <xf numFmtId="3" fontId="2" fillId="9" borderId="12" xfId="0" applyNumberFormat="1" applyFont="1" applyFill="1" applyBorder="1" applyAlignment="1">
      <alignment horizontal="center"/>
    </xf>
    <xf numFmtId="3" fontId="2" fillId="8" borderId="9" xfId="0" applyNumberFormat="1" applyFont="1" applyFill="1" applyBorder="1" applyAlignment="1">
      <alignment horizontal="center"/>
    </xf>
    <xf numFmtId="4" fontId="7" fillId="13" borderId="9" xfId="0" applyNumberFormat="1" applyFont="1" applyFill="1" applyBorder="1" applyAlignment="1">
      <alignment horizontal="center"/>
    </xf>
    <xf numFmtId="3" fontId="2" fillId="8" borderId="12" xfId="0" applyNumberFormat="1" applyFont="1" applyFill="1" applyBorder="1" applyAlignment="1">
      <alignment horizontal="center"/>
    </xf>
    <xf numFmtId="4" fontId="7" fillId="13" borderId="11" xfId="0" applyNumberFormat="1" applyFont="1" applyFill="1" applyBorder="1" applyAlignment="1">
      <alignment horizontal="center"/>
    </xf>
    <xf numFmtId="169" fontId="1" fillId="0" borderId="9" xfId="0" applyNumberFormat="1" applyFont="1" applyBorder="1" applyAlignment="1">
      <alignment horizontal="center"/>
    </xf>
    <xf numFmtId="10" fontId="1" fillId="0" borderId="12" xfId="0" applyNumberFormat="1" applyFont="1" applyBorder="1" applyAlignment="1">
      <alignment horizontal="center"/>
    </xf>
    <xf numFmtId="4" fontId="1" fillId="0" borderId="11" xfId="0" applyNumberFormat="1" applyFont="1" applyBorder="1" applyAlignment="1">
      <alignment horizontal="center"/>
    </xf>
    <xf numFmtId="2" fontId="1" fillId="0" borderId="9" xfId="0" applyNumberFormat="1" applyFont="1" applyBorder="1" applyAlignment="1">
      <alignment horizontal="center"/>
    </xf>
    <xf numFmtId="0" fontId="19" fillId="0" borderId="11" xfId="0" applyFont="1" applyBorder="1" applyAlignment="1">
      <alignment horizontal="center"/>
    </xf>
    <xf numFmtId="0" fontId="7" fillId="0" borderId="9" xfId="0" applyFont="1" applyBorder="1" applyAlignment="1">
      <alignment horizontal="center"/>
    </xf>
    <xf numFmtId="10" fontId="7" fillId="0" borderId="9" xfId="0" applyNumberFormat="1" applyFont="1" applyBorder="1" applyAlignment="1">
      <alignment horizontal="center"/>
    </xf>
    <xf numFmtId="0" fontId="7" fillId="0" borderId="11" xfId="0" applyFont="1" applyBorder="1" applyAlignment="1">
      <alignment horizontal="center"/>
    </xf>
    <xf numFmtId="10" fontId="7" fillId="0" borderId="11" xfId="0" applyNumberFormat="1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2" fillId="9" borderId="9" xfId="0" applyFont="1" applyFill="1" applyBorder="1" applyAlignment="1">
      <alignment horizontal="center"/>
    </xf>
    <xf numFmtId="180" fontId="2" fillId="9" borderId="12" xfId="0" applyNumberFormat="1" applyFont="1" applyFill="1" applyBorder="1" applyAlignment="1">
      <alignment horizontal="center"/>
    </xf>
    <xf numFmtId="3" fontId="1" fillId="17" borderId="9" xfId="0" applyNumberFormat="1" applyFont="1" applyFill="1" applyBorder="1" applyAlignment="1">
      <alignment horizontal="center"/>
    </xf>
    <xf numFmtId="3" fontId="1" fillId="17" borderId="12" xfId="0" applyNumberFormat="1" applyFont="1" applyFill="1" applyBorder="1" applyAlignment="1">
      <alignment horizontal="center"/>
    </xf>
    <xf numFmtId="3" fontId="2" fillId="8" borderId="9" xfId="0" applyNumberFormat="1" applyFont="1" applyFill="1" applyBorder="1"/>
    <xf numFmtId="10" fontId="2" fillId="8" borderId="9" xfId="0" applyNumberFormat="1" applyFont="1" applyFill="1" applyBorder="1" applyAlignment="1">
      <alignment horizontal="center"/>
    </xf>
    <xf numFmtId="0" fontId="5" fillId="8" borderId="9" xfId="0" applyFont="1" applyFill="1" applyBorder="1" applyAlignment="1">
      <alignment horizontal="center"/>
    </xf>
    <xf numFmtId="3" fontId="1" fillId="0" borderId="9" xfId="0" applyNumberFormat="1" applyFont="1" applyBorder="1"/>
    <xf numFmtId="10" fontId="8" fillId="0" borderId="9" xfId="0" applyNumberFormat="1" applyFont="1" applyBorder="1" applyAlignment="1">
      <alignment horizontal="center"/>
    </xf>
    <xf numFmtId="170" fontId="8" fillId="2" borderId="9" xfId="0" applyNumberFormat="1" applyFont="1" applyFill="1" applyBorder="1" applyAlignment="1">
      <alignment horizontal="right"/>
    </xf>
    <xf numFmtId="0" fontId="14" fillId="0" borderId="9" xfId="0" applyFont="1" applyBorder="1"/>
    <xf numFmtId="3" fontId="7" fillId="0" borderId="9" xfId="0" applyNumberFormat="1" applyFont="1" applyBorder="1" applyAlignment="1">
      <alignment horizontal="right"/>
    </xf>
    <xf numFmtId="4" fontId="1" fillId="2" borderId="9" xfId="0" applyNumberFormat="1" applyFont="1" applyFill="1" applyBorder="1"/>
    <xf numFmtId="180" fontId="2" fillId="8" borderId="11" xfId="0" applyNumberFormat="1" applyFont="1" applyFill="1" applyBorder="1" applyAlignment="1">
      <alignment horizontal="center"/>
    </xf>
    <xf numFmtId="0" fontId="2" fillId="8" borderId="11" xfId="0" applyFont="1" applyFill="1" applyBorder="1" applyAlignment="1">
      <alignment horizontal="center"/>
    </xf>
    <xf numFmtId="3" fontId="2" fillId="8" borderId="12" xfId="0" applyNumberFormat="1" applyFont="1" applyFill="1" applyBorder="1"/>
    <xf numFmtId="0" fontId="13" fillId="0" borderId="12" xfId="0" applyFont="1" applyBorder="1"/>
    <xf numFmtId="3" fontId="5" fillId="0" borderId="9" xfId="0" applyNumberFormat="1" applyFont="1" applyBorder="1"/>
    <xf numFmtId="3" fontId="1" fillId="0" borderId="15" xfId="0" applyNumberFormat="1" applyFont="1" applyBorder="1"/>
    <xf numFmtId="180" fontId="15" fillId="7" borderId="9" xfId="0" applyNumberFormat="1" applyFont="1" applyFill="1" applyBorder="1" applyAlignment="1">
      <alignment horizontal="center"/>
    </xf>
    <xf numFmtId="0" fontId="15" fillId="7" borderId="9" xfId="0" applyFont="1" applyFill="1" applyBorder="1" applyAlignment="1">
      <alignment horizontal="center"/>
    </xf>
    <xf numFmtId="3" fontId="2" fillId="8" borderId="9" xfId="0" applyNumberFormat="1" applyFont="1" applyFill="1" applyBorder="1" applyAlignment="1">
      <alignment horizontal="right"/>
    </xf>
    <xf numFmtId="38" fontId="2" fillId="8" borderId="9" xfId="0" applyNumberFormat="1" applyFont="1" applyFill="1" applyBorder="1" applyAlignment="1">
      <alignment horizontal="right"/>
    </xf>
    <xf numFmtId="3" fontId="5" fillId="16" borderId="9" xfId="0" applyNumberFormat="1" applyFont="1" applyFill="1" applyBorder="1" applyAlignment="1">
      <alignment horizontal="center"/>
    </xf>
    <xf numFmtId="3" fontId="5" fillId="0" borderId="9" xfId="0" applyNumberFormat="1" applyFont="1" applyBorder="1" applyAlignment="1">
      <alignment horizontal="center"/>
    </xf>
    <xf numFmtId="3" fontId="2" fillId="16" borderId="9" xfId="0" applyNumberFormat="1" applyFont="1" applyFill="1" applyBorder="1" applyAlignment="1">
      <alignment horizontal="center"/>
    </xf>
    <xf numFmtId="178" fontId="2" fillId="20" borderId="9" xfId="0" applyNumberFormat="1" applyFont="1" applyFill="1" applyBorder="1" applyAlignment="1">
      <alignment horizontal="center"/>
    </xf>
    <xf numFmtId="3" fontId="1" fillId="16" borderId="9" xfId="0" applyNumberFormat="1" applyFont="1" applyFill="1" applyBorder="1" applyAlignment="1">
      <alignment horizontal="center"/>
    </xf>
    <xf numFmtId="38" fontId="2" fillId="15" borderId="9" xfId="0" applyNumberFormat="1" applyFont="1" applyFill="1" applyBorder="1" applyAlignment="1">
      <alignment horizontal="center"/>
    </xf>
    <xf numFmtId="178" fontId="7" fillId="0" borderId="9" xfId="0" applyNumberFormat="1" applyFont="1" applyBorder="1" applyAlignment="1">
      <alignment horizontal="center"/>
    </xf>
    <xf numFmtId="3" fontId="2" fillId="8" borderId="12" xfId="0" applyNumberFormat="1" applyFont="1" applyFill="1" applyBorder="1" applyAlignment="1">
      <alignment horizontal="right"/>
    </xf>
    <xf numFmtId="38" fontId="2" fillId="8" borderId="12" xfId="0" applyNumberFormat="1" applyFont="1" applyFill="1" applyBorder="1" applyAlignment="1">
      <alignment horizontal="right"/>
    </xf>
    <xf numFmtId="10" fontId="2" fillId="15" borderId="9" xfId="0" applyNumberFormat="1" applyFont="1" applyFill="1" applyBorder="1" applyAlignment="1">
      <alignment horizontal="center"/>
    </xf>
    <xf numFmtId="10" fontId="2" fillId="8" borderId="12" xfId="0" applyNumberFormat="1" applyFont="1" applyFill="1" applyBorder="1" applyAlignment="1">
      <alignment horizontal="center"/>
    </xf>
    <xf numFmtId="0" fontId="8" fillId="0" borderId="12" xfId="0" applyFont="1" applyBorder="1" applyAlignment="1">
      <alignment horizontal="right"/>
    </xf>
    <xf numFmtId="3" fontId="1" fillId="2" borderId="9" xfId="0" applyNumberFormat="1" applyFont="1" applyFill="1" applyBorder="1" applyAlignment="1">
      <alignment horizontal="center"/>
    </xf>
    <xf numFmtId="10" fontId="2" fillId="19" borderId="12" xfId="0" applyNumberFormat="1" applyFont="1" applyFill="1" applyBorder="1" applyAlignment="1">
      <alignment horizontal="center"/>
    </xf>
    <xf numFmtId="3" fontId="1" fillId="0" borderId="12" xfId="0" applyNumberFormat="1" applyFont="1" applyBorder="1" applyAlignment="1">
      <alignment horizontal="center"/>
    </xf>
    <xf numFmtId="3" fontId="7" fillId="0" borderId="12" xfId="0" applyNumberFormat="1" applyFont="1" applyBorder="1" applyAlignment="1">
      <alignment horizontal="center"/>
    </xf>
    <xf numFmtId="3" fontId="1" fillId="13" borderId="11" xfId="0" applyNumberFormat="1" applyFont="1" applyFill="1" applyBorder="1" applyAlignment="1">
      <alignment horizontal="center"/>
    </xf>
    <xf numFmtId="10" fontId="5" fillId="2" borderId="9" xfId="0" applyNumberFormat="1" applyFont="1" applyFill="1" applyBorder="1" applyAlignment="1">
      <alignment horizontal="center"/>
    </xf>
    <xf numFmtId="0" fontId="2" fillId="9" borderId="12" xfId="0" applyFont="1" applyFill="1" applyBorder="1" applyAlignment="1">
      <alignment horizontal="center"/>
    </xf>
    <xf numFmtId="10" fontId="5" fillId="13" borderId="9" xfId="0" applyNumberFormat="1" applyFont="1" applyFill="1" applyBorder="1" applyAlignment="1">
      <alignment horizontal="center"/>
    </xf>
    <xf numFmtId="10" fontId="7" fillId="0" borderId="16" xfId="0" applyNumberFormat="1" applyFont="1" applyBorder="1" applyAlignment="1">
      <alignment horizontal="center"/>
    </xf>
    <xf numFmtId="183" fontId="2" fillId="8" borderId="11" xfId="0" applyNumberFormat="1" applyFont="1" applyFill="1" applyBorder="1" applyAlignment="1">
      <alignment horizontal="center"/>
    </xf>
    <xf numFmtId="167" fontId="7" fillId="0" borderId="11" xfId="0" applyNumberFormat="1" applyFont="1" applyBorder="1" applyAlignment="1">
      <alignment horizontal="center"/>
    </xf>
    <xf numFmtId="4" fontId="2" fillId="9" borderId="9" xfId="0" applyNumberFormat="1" applyFont="1" applyFill="1" applyBorder="1" applyAlignment="1">
      <alignment horizontal="right"/>
    </xf>
    <xf numFmtId="0" fontId="2" fillId="9" borderId="9" xfId="0" applyFont="1" applyFill="1" applyBorder="1" applyAlignment="1">
      <alignment horizontal="left"/>
    </xf>
    <xf numFmtId="170" fontId="1" fillId="0" borderId="9" xfId="0" applyNumberFormat="1" applyFont="1" applyBorder="1" applyAlignment="1">
      <alignment horizontal="center"/>
    </xf>
    <xf numFmtId="170" fontId="1" fillId="0" borderId="11" xfId="0" applyNumberFormat="1" applyFont="1" applyBorder="1" applyAlignment="1">
      <alignment horizontal="center"/>
    </xf>
    <xf numFmtId="169" fontId="1" fillId="0" borderId="12" xfId="0" applyNumberFormat="1" applyFont="1" applyBorder="1" applyAlignment="1">
      <alignment horizontal="center"/>
    </xf>
    <xf numFmtId="4" fontId="2" fillId="9" borderId="11" xfId="0" applyNumberFormat="1" applyFont="1" applyFill="1" applyBorder="1" applyAlignment="1">
      <alignment horizontal="center"/>
    </xf>
    <xf numFmtId="0" fontId="1" fillId="0" borderId="11" xfId="0" applyFont="1" applyBorder="1" applyAlignment="1">
      <alignment horizontal="center"/>
    </xf>
    <xf numFmtId="164" fontId="2" fillId="9" borderId="9" xfId="0" applyNumberFormat="1" applyFont="1" applyFill="1" applyBorder="1" applyAlignment="1">
      <alignment horizontal="center"/>
    </xf>
    <xf numFmtId="10" fontId="7" fillId="0" borderId="9" xfId="0" applyNumberFormat="1" applyFont="1" applyBorder="1" applyAlignment="1">
      <alignment horizontal="left"/>
    </xf>
    <xf numFmtId="0" fontId="1" fillId="12" borderId="11" xfId="0" applyFont="1" applyFill="1" applyBorder="1"/>
    <xf numFmtId="0" fontId="3" fillId="0" borderId="12" xfId="0" applyFont="1" applyBorder="1" applyAlignment="1">
      <alignment horizontal="center"/>
    </xf>
    <xf numFmtId="2" fontId="7" fillId="0" borderId="9" xfId="0" applyNumberFormat="1" applyFont="1" applyBorder="1" applyAlignment="1">
      <alignment horizontal="center"/>
    </xf>
    <xf numFmtId="10" fontId="5" fillId="0" borderId="9" xfId="0" applyNumberFormat="1" applyFont="1" applyBorder="1"/>
    <xf numFmtId="4" fontId="7" fillId="0" borderId="9" xfId="0" applyNumberFormat="1" applyFont="1" applyBorder="1" applyAlignment="1">
      <alignment horizontal="center"/>
    </xf>
    <xf numFmtId="0" fontId="5" fillId="0" borderId="9" xfId="0" quotePrefix="1" applyFont="1" applyBorder="1"/>
    <xf numFmtId="4" fontId="5" fillId="0" borderId="9" xfId="0" applyNumberFormat="1" applyFont="1" applyBorder="1" applyAlignment="1">
      <alignment horizontal="center"/>
    </xf>
    <xf numFmtId="10" fontId="1" fillId="14" borderId="11" xfId="0" applyNumberFormat="1" applyFont="1" applyFill="1" applyBorder="1" applyAlignment="1">
      <alignment horizontal="center"/>
    </xf>
    <xf numFmtId="10" fontId="1" fillId="14" borderId="12" xfId="0" applyNumberFormat="1" applyFont="1" applyFill="1" applyBorder="1" applyAlignment="1">
      <alignment horizontal="center"/>
    </xf>
    <xf numFmtId="4" fontId="5" fillId="0" borderId="12" xfId="0" applyNumberFormat="1" applyFont="1" applyBorder="1" applyAlignment="1">
      <alignment horizontal="center"/>
    </xf>
    <xf numFmtId="10" fontId="2" fillId="8" borderId="11" xfId="0" applyNumberFormat="1" applyFont="1" applyFill="1" applyBorder="1" applyAlignment="1">
      <alignment horizontal="center"/>
    </xf>
    <xf numFmtId="10" fontId="1" fillId="2" borderId="9" xfId="0" applyNumberFormat="1" applyFont="1" applyFill="1" applyBorder="1" applyAlignment="1">
      <alignment horizontal="center"/>
    </xf>
    <xf numFmtId="3" fontId="1" fillId="16" borderId="12" xfId="0" applyNumberFormat="1" applyFont="1" applyFill="1" applyBorder="1" applyAlignment="1">
      <alignment horizontal="center"/>
    </xf>
    <xf numFmtId="3" fontId="1" fillId="2" borderId="12" xfId="0" applyNumberFormat="1" applyFont="1" applyFill="1" applyBorder="1" applyAlignment="1">
      <alignment horizontal="center"/>
    </xf>
    <xf numFmtId="3" fontId="30" fillId="10" borderId="12" xfId="0" applyNumberFormat="1" applyFont="1" applyFill="1" applyBorder="1" applyAlignment="1">
      <alignment horizontal="center"/>
    </xf>
    <xf numFmtId="4" fontId="1" fillId="2" borderId="9" xfId="0" applyNumberFormat="1" applyFont="1" applyFill="1" applyBorder="1" applyAlignment="1">
      <alignment horizontal="center"/>
    </xf>
    <xf numFmtId="0" fontId="1" fillId="11" borderId="9" xfId="0" applyFont="1" applyFill="1" applyBorder="1" applyAlignment="1">
      <alignment horizontal="center"/>
    </xf>
    <xf numFmtId="3" fontId="2" fillId="15" borderId="15" xfId="0" applyNumberFormat="1" applyFont="1" applyFill="1" applyBorder="1" applyAlignment="1">
      <alignment horizontal="center"/>
    </xf>
    <xf numFmtId="4" fontId="1" fillId="2" borderId="11" xfId="0" applyNumberFormat="1" applyFont="1" applyFill="1" applyBorder="1" applyAlignment="1">
      <alignment horizontal="center"/>
    </xf>
    <xf numFmtId="187" fontId="1" fillId="0" borderId="11" xfId="0" applyNumberFormat="1" applyFont="1" applyBorder="1" applyAlignment="1">
      <alignment horizontal="center"/>
    </xf>
    <xf numFmtId="10" fontId="1" fillId="0" borderId="15" xfId="0" applyNumberFormat="1" applyFont="1" applyBorder="1" applyAlignment="1">
      <alignment horizontal="center"/>
    </xf>
    <xf numFmtId="4" fontId="1" fillId="11" borderId="34" xfId="0" applyNumberFormat="1" applyFont="1" applyFill="1" applyBorder="1" applyAlignment="1">
      <alignment horizontal="center"/>
    </xf>
    <xf numFmtId="4" fontId="1" fillId="2" borderId="34" xfId="0" applyNumberFormat="1" applyFont="1" applyFill="1" applyBorder="1" applyAlignment="1">
      <alignment horizontal="center"/>
    </xf>
    <xf numFmtId="4" fontId="1" fillId="10" borderId="34" xfId="0" applyNumberFormat="1" applyFont="1" applyFill="1" applyBorder="1" applyAlignment="1">
      <alignment horizontal="center"/>
    </xf>
    <xf numFmtId="0" fontId="14" fillId="0" borderId="9" xfId="0" applyFont="1" applyBorder="1" applyAlignment="1">
      <alignment vertical="center"/>
    </xf>
    <xf numFmtId="4" fontId="4" fillId="8" borderId="9" xfId="0" applyNumberFormat="1" applyFont="1" applyFill="1" applyBorder="1" applyAlignment="1">
      <alignment horizontal="right"/>
    </xf>
    <xf numFmtId="3" fontId="1" fillId="0" borderId="9" xfId="0" applyNumberFormat="1" applyFont="1" applyBorder="1" applyAlignment="1">
      <alignment horizontal="left"/>
    </xf>
    <xf numFmtId="0" fontId="7" fillId="0" borderId="9" xfId="0" applyFont="1" applyBorder="1" applyAlignment="1">
      <alignment horizontal="left"/>
    </xf>
    <xf numFmtId="4" fontId="27" fillId="0" borderId="9" xfId="0" applyNumberFormat="1" applyFont="1" applyBorder="1" applyAlignment="1">
      <alignment horizontal="right"/>
    </xf>
    <xf numFmtId="4" fontId="27" fillId="0" borderId="11" xfId="0" applyNumberFormat="1" applyFont="1" applyBorder="1" applyAlignment="1">
      <alignment horizontal="right"/>
    </xf>
    <xf numFmtId="3" fontId="1" fillId="0" borderId="11" xfId="0" applyNumberFormat="1" applyFont="1" applyBorder="1" applyAlignment="1">
      <alignment horizontal="left"/>
    </xf>
    <xf numFmtId="4" fontId="3" fillId="2" borderId="12" xfId="0" applyNumberFormat="1" applyFont="1" applyFill="1" applyBorder="1" applyAlignment="1">
      <alignment horizontal="right"/>
    </xf>
    <xf numFmtId="3" fontId="1" fillId="2" borderId="12" xfId="0" applyNumberFormat="1" applyFont="1" applyFill="1" applyBorder="1" applyAlignment="1">
      <alignment horizontal="left"/>
    </xf>
    <xf numFmtId="170" fontId="1" fillId="0" borderId="12" xfId="0" applyNumberFormat="1" applyFont="1" applyBorder="1" applyAlignment="1">
      <alignment horizontal="center"/>
    </xf>
    <xf numFmtId="4" fontId="5" fillId="13" borderId="9" xfId="0" applyNumberFormat="1" applyFont="1" applyFill="1" applyBorder="1" applyAlignment="1">
      <alignment horizontal="center"/>
    </xf>
    <xf numFmtId="0" fontId="3" fillId="23" borderId="9" xfId="0" applyFont="1" applyFill="1" applyBorder="1" applyAlignment="1">
      <alignment horizontal="center"/>
    </xf>
    <xf numFmtId="0" fontId="15" fillId="22" borderId="9" xfId="0" applyFont="1" applyFill="1" applyBorder="1" applyAlignment="1">
      <alignment horizontal="center"/>
    </xf>
    <xf numFmtId="176" fontId="2" fillId="8" borderId="12" xfId="0" applyNumberFormat="1" applyFont="1" applyFill="1" applyBorder="1" applyAlignment="1">
      <alignment horizontal="center"/>
    </xf>
    <xf numFmtId="4" fontId="2" fillId="0" borderId="12" xfId="0" applyNumberFormat="1" applyFont="1" applyBorder="1" applyAlignment="1">
      <alignment horizontal="center"/>
    </xf>
    <xf numFmtId="176" fontId="2" fillId="8" borderId="11" xfId="0" applyNumberFormat="1" applyFont="1" applyFill="1" applyBorder="1" applyAlignment="1">
      <alignment horizontal="center"/>
    </xf>
    <xf numFmtId="4" fontId="2" fillId="0" borderId="11" xfId="0" applyNumberFormat="1" applyFont="1" applyBorder="1" applyAlignment="1">
      <alignment horizontal="center"/>
    </xf>
    <xf numFmtId="4" fontId="5" fillId="0" borderId="36" xfId="0" applyNumberFormat="1" applyFont="1" applyBorder="1" applyAlignment="1">
      <alignment horizontal="center"/>
    </xf>
    <xf numFmtId="4" fontId="5" fillId="0" borderId="37" xfId="0" applyNumberFormat="1" applyFont="1" applyBorder="1" applyAlignment="1">
      <alignment horizontal="center"/>
    </xf>
    <xf numFmtId="188" fontId="1" fillId="0" borderId="9" xfId="0" applyNumberFormat="1" applyFont="1" applyBorder="1" applyAlignment="1">
      <alignment horizontal="center"/>
    </xf>
    <xf numFmtId="189" fontId="2" fillId="8" borderId="9" xfId="0" applyNumberFormat="1" applyFont="1" applyFill="1" applyBorder="1" applyAlignment="1">
      <alignment horizontal="center"/>
    </xf>
    <xf numFmtId="4" fontId="1" fillId="13" borderId="9" xfId="0" applyNumberFormat="1" applyFont="1" applyFill="1" applyBorder="1" applyAlignment="1">
      <alignment horizontal="center"/>
    </xf>
    <xf numFmtId="3" fontId="7" fillId="13" borderId="15" xfId="0" applyNumberFormat="1" applyFont="1" applyFill="1" applyBorder="1" applyAlignment="1">
      <alignment horizontal="center"/>
    </xf>
    <xf numFmtId="3" fontId="7" fillId="2" borderId="15" xfId="0" applyNumberFormat="1" applyFont="1" applyFill="1" applyBorder="1" applyAlignment="1">
      <alignment horizontal="center"/>
    </xf>
    <xf numFmtId="4" fontId="1" fillId="0" borderId="15" xfId="0" applyNumberFormat="1" applyFont="1" applyBorder="1" applyAlignment="1">
      <alignment horizontal="center"/>
    </xf>
    <xf numFmtId="2" fontId="1" fillId="0" borderId="11" xfId="0" applyNumberFormat="1" applyFont="1" applyBorder="1" applyAlignment="1">
      <alignment horizontal="center"/>
    </xf>
    <xf numFmtId="4" fontId="5" fillId="0" borderId="35" xfId="0" applyNumberFormat="1" applyFont="1" applyBorder="1" applyAlignment="1">
      <alignment horizontal="center"/>
    </xf>
    <xf numFmtId="4" fontId="5" fillId="13" borderId="35" xfId="0" applyNumberFormat="1" applyFont="1" applyFill="1" applyBorder="1" applyAlignment="1">
      <alignment horizontal="center"/>
    </xf>
    <xf numFmtId="0" fontId="32" fillId="0" borderId="9" xfId="0" applyFont="1" applyBorder="1" applyAlignment="1">
      <alignment horizontal="center"/>
    </xf>
    <xf numFmtId="0" fontId="24" fillId="0" borderId="9" xfId="0" applyFont="1" applyBorder="1" applyAlignment="1">
      <alignment horizontal="center"/>
    </xf>
    <xf numFmtId="10" fontId="2" fillId="24" borderId="12" xfId="0" applyNumberFormat="1" applyFont="1" applyFill="1" applyBorder="1" applyAlignment="1">
      <alignment horizontal="center"/>
    </xf>
    <xf numFmtId="10" fontId="7" fillId="12" borderId="9" xfId="0" applyNumberFormat="1" applyFont="1" applyFill="1" applyBorder="1" applyAlignment="1">
      <alignment horizontal="center"/>
    </xf>
    <xf numFmtId="3" fontId="1" fillId="12" borderId="9" xfId="0" applyNumberFormat="1" applyFont="1" applyFill="1" applyBorder="1" applyAlignment="1">
      <alignment horizontal="center"/>
    </xf>
    <xf numFmtId="3" fontId="1" fillId="12" borderId="12" xfId="0" applyNumberFormat="1" applyFont="1" applyFill="1" applyBorder="1" applyAlignment="1">
      <alignment horizontal="center"/>
    </xf>
    <xf numFmtId="3" fontId="7" fillId="12" borderId="9" xfId="0" applyNumberFormat="1" applyFont="1" applyFill="1" applyBorder="1" applyAlignment="1">
      <alignment horizontal="center"/>
    </xf>
    <xf numFmtId="3" fontId="1" fillId="12" borderId="11" xfId="0" applyNumberFormat="1" applyFont="1" applyFill="1" applyBorder="1" applyAlignment="1">
      <alignment horizontal="center"/>
    </xf>
    <xf numFmtId="1" fontId="0" fillId="0" borderId="0" xfId="0" applyNumberFormat="1"/>
    <xf numFmtId="1" fontId="14" fillId="0" borderId="2" xfId="0" applyNumberFormat="1" applyFont="1" applyBorder="1" applyAlignment="1">
      <alignment horizontal="center" vertical="center"/>
    </xf>
    <xf numFmtId="0" fontId="26" fillId="0" borderId="0" xfId="0" applyFont="1"/>
    <xf numFmtId="0" fontId="0" fillId="0" borderId="0" xfId="0" applyAlignment="1">
      <alignment horizontal="center"/>
    </xf>
    <xf numFmtId="3" fontId="26" fillId="0" borderId="0" xfId="0" applyNumberFormat="1" applyFont="1" applyAlignment="1">
      <alignment horizontal="center"/>
    </xf>
    <xf numFmtId="3" fontId="0" fillId="0" borderId="0" xfId="0" applyNumberFormat="1" applyAlignment="1">
      <alignment horizontal="center"/>
    </xf>
    <xf numFmtId="10" fontId="0" fillId="0" borderId="0" xfId="0" applyNumberFormat="1" applyAlignment="1">
      <alignment horizontal="center"/>
    </xf>
    <xf numFmtId="0" fontId="33" fillId="0" borderId="0" xfId="0" applyFont="1"/>
    <xf numFmtId="3" fontId="0" fillId="0" borderId="0" xfId="0" applyNumberFormat="1"/>
    <xf numFmtId="9" fontId="0" fillId="0" borderId="0" xfId="0" applyNumberFormat="1"/>
    <xf numFmtId="0" fontId="26" fillId="0" borderId="0" xfId="0" quotePrefix="1" applyFont="1" applyAlignment="1">
      <alignment horizontal="center"/>
    </xf>
    <xf numFmtId="0" fontId="26" fillId="0" borderId="0" xfId="0" applyFont="1" applyAlignment="1">
      <alignment horizontal="center"/>
    </xf>
    <xf numFmtId="38" fontId="0" fillId="0" borderId="0" xfId="0" applyNumberFormat="1" applyAlignment="1">
      <alignment horizontal="center"/>
    </xf>
    <xf numFmtId="182" fontId="0" fillId="0" borderId="0" xfId="0" applyNumberFormat="1"/>
    <xf numFmtId="3" fontId="1" fillId="0" borderId="38" xfId="0" applyNumberFormat="1" applyFont="1" applyBorder="1" applyAlignment="1">
      <alignment horizontal="center"/>
    </xf>
    <xf numFmtId="3" fontId="1" fillId="0" borderId="9" xfId="0" applyNumberFormat="1" applyFont="1" applyBorder="1" applyAlignment="1">
      <alignment horizontal="right"/>
    </xf>
    <xf numFmtId="0" fontId="1" fillId="0" borderId="12" xfId="0" applyFont="1" applyBorder="1"/>
    <xf numFmtId="3" fontId="1" fillId="0" borderId="12" xfId="0" applyNumberFormat="1" applyFont="1" applyBorder="1"/>
    <xf numFmtId="0" fontId="1" fillId="0" borderId="38" xfId="0" applyFont="1" applyBorder="1"/>
    <xf numFmtId="3" fontId="8" fillId="0" borderId="38" xfId="0" applyNumberFormat="1" applyFont="1" applyBorder="1"/>
    <xf numFmtId="10" fontId="1" fillId="0" borderId="38" xfId="0" applyNumberFormat="1" applyFont="1" applyBorder="1" applyAlignment="1">
      <alignment horizontal="center"/>
    </xf>
    <xf numFmtId="3" fontId="2" fillId="8" borderId="38" xfId="0" applyNumberFormat="1" applyFont="1" applyFill="1" applyBorder="1"/>
    <xf numFmtId="3" fontId="5" fillId="0" borderId="0" xfId="0" applyNumberFormat="1" applyFont="1"/>
    <xf numFmtId="3" fontId="7" fillId="0" borderId="15" xfId="0" applyNumberFormat="1" applyFont="1" applyBorder="1" applyAlignment="1">
      <alignment horizontal="center"/>
    </xf>
    <xf numFmtId="191" fontId="5" fillId="0" borderId="0" xfId="0" applyNumberFormat="1" applyFont="1" applyAlignment="1">
      <alignment horizontal="center"/>
    </xf>
    <xf numFmtId="3" fontId="7" fillId="10" borderId="9" xfId="0" applyNumberFormat="1" applyFont="1" applyFill="1" applyBorder="1" applyAlignment="1">
      <alignment horizontal="center"/>
    </xf>
    <xf numFmtId="0" fontId="34" fillId="0" borderId="2" xfId="0" applyFont="1" applyBorder="1" applyAlignment="1">
      <alignment horizontal="center" vertical="center"/>
    </xf>
    <xf numFmtId="3" fontId="5" fillId="10" borderId="9" xfId="0" applyNumberFormat="1" applyFont="1" applyFill="1" applyBorder="1" applyAlignment="1">
      <alignment horizontal="center"/>
    </xf>
    <xf numFmtId="3" fontId="2" fillId="9" borderId="9" xfId="0" applyNumberFormat="1" applyFont="1" applyFill="1" applyBorder="1" applyAlignment="1">
      <alignment horizontal="center"/>
    </xf>
    <xf numFmtId="0" fontId="7" fillId="8" borderId="9" xfId="0" applyFont="1" applyFill="1" applyBorder="1"/>
    <xf numFmtId="165" fontId="4" fillId="9" borderId="9" xfId="0" applyNumberFormat="1" applyFont="1" applyFill="1" applyBorder="1" applyAlignment="1">
      <alignment horizontal="center"/>
    </xf>
    <xf numFmtId="174" fontId="1" fillId="0" borderId="11" xfId="0" applyNumberFormat="1" applyFont="1" applyBorder="1" applyAlignment="1">
      <alignment horizontal="center"/>
    </xf>
    <xf numFmtId="0" fontId="5" fillId="0" borderId="11" xfId="0" applyFont="1" applyBorder="1"/>
    <xf numFmtId="164" fontId="3" fillId="0" borderId="12" xfId="0" applyNumberFormat="1" applyFont="1" applyBorder="1" applyAlignment="1">
      <alignment horizontal="center"/>
    </xf>
    <xf numFmtId="0" fontId="7" fillId="0" borderId="12" xfId="0" applyFont="1" applyBorder="1"/>
    <xf numFmtId="165" fontId="3" fillId="0" borderId="9" xfId="0" applyNumberFormat="1" applyFont="1" applyBorder="1" applyAlignment="1">
      <alignment horizontal="center"/>
    </xf>
    <xf numFmtId="0" fontId="5" fillId="0" borderId="9" xfId="0" applyFont="1" applyBorder="1"/>
    <xf numFmtId="174" fontId="1" fillId="0" borderId="9" xfId="0" applyNumberFormat="1" applyFont="1" applyBorder="1" applyAlignment="1">
      <alignment horizontal="center"/>
    </xf>
    <xf numFmtId="10" fontId="2" fillId="8" borderId="27" xfId="0" applyNumberFormat="1" applyFont="1" applyFill="1" applyBorder="1" applyAlignment="1">
      <alignment horizontal="center"/>
    </xf>
    <xf numFmtId="10" fontId="2" fillId="8" borderId="28" xfId="0" applyNumberFormat="1" applyFont="1" applyFill="1" applyBorder="1" applyAlignment="1">
      <alignment horizontal="center"/>
    </xf>
    <xf numFmtId="0" fontId="1" fillId="12" borderId="9" xfId="0" applyFont="1" applyFill="1" applyBorder="1"/>
    <xf numFmtId="172" fontId="1" fillId="0" borderId="9" xfId="0" applyNumberFormat="1" applyFont="1" applyBorder="1" applyAlignment="1">
      <alignment horizontal="center"/>
    </xf>
    <xf numFmtId="171" fontId="1" fillId="0" borderId="9" xfId="0" applyNumberFormat="1" applyFont="1" applyBorder="1" applyAlignment="1">
      <alignment horizontal="center"/>
    </xf>
    <xf numFmtId="4" fontId="2" fillId="8" borderId="23" xfId="0" applyNumberFormat="1" applyFont="1" applyFill="1" applyBorder="1" applyAlignment="1">
      <alignment horizontal="center" vertical="center"/>
    </xf>
    <xf numFmtId="4" fontId="2" fillId="8" borderId="18" xfId="0" applyNumberFormat="1" applyFont="1" applyFill="1" applyBorder="1" applyAlignment="1">
      <alignment horizontal="center" vertical="center"/>
    </xf>
    <xf numFmtId="4" fontId="2" fillId="8" borderId="24" xfId="0" applyNumberFormat="1" applyFont="1" applyFill="1" applyBorder="1" applyAlignment="1">
      <alignment horizontal="center" vertical="center"/>
    </xf>
    <xf numFmtId="0" fontId="2" fillId="9" borderId="11" xfId="0" applyFont="1" applyFill="1" applyBorder="1" applyAlignment="1">
      <alignment horizontal="left" vertical="center" wrapText="1"/>
    </xf>
    <xf numFmtId="0" fontId="7" fillId="8" borderId="11" xfId="0" applyFont="1" applyFill="1" applyBorder="1"/>
    <xf numFmtId="0" fontId="15" fillId="0" borderId="12" xfId="0" applyFont="1" applyBorder="1" applyAlignment="1">
      <alignment horizontal="center" vertical="center"/>
    </xf>
    <xf numFmtId="0" fontId="15" fillId="0" borderId="9" xfId="0" applyFont="1" applyBorder="1" applyAlignment="1">
      <alignment horizontal="center" vertical="center"/>
    </xf>
    <xf numFmtId="0" fontId="15" fillId="0" borderId="11" xfId="0" applyFont="1" applyBorder="1" applyAlignment="1">
      <alignment horizontal="center" vertical="center"/>
    </xf>
    <xf numFmtId="190" fontId="1" fillId="14" borderId="9" xfId="0" applyNumberFormat="1" applyFont="1" applyFill="1" applyBorder="1" applyAlignment="1">
      <alignment horizontal="center"/>
    </xf>
    <xf numFmtId="173" fontId="1" fillId="0" borderId="9" xfId="0" applyNumberFormat="1" applyFont="1" applyBorder="1" applyAlignment="1">
      <alignment horizontal="center"/>
    </xf>
    <xf numFmtId="0" fontId="7" fillId="0" borderId="12" xfId="0" applyFont="1" applyBorder="1" applyAlignment="1">
      <alignment horizontal="center"/>
    </xf>
    <xf numFmtId="10" fontId="2" fillId="8" borderId="12" xfId="0" applyNumberFormat="1" applyFont="1" applyFill="1" applyBorder="1" applyAlignment="1">
      <alignment horizontal="center" vertical="center"/>
    </xf>
    <xf numFmtId="10" fontId="2" fillId="8" borderId="9" xfId="0" applyNumberFormat="1" applyFont="1" applyFill="1" applyBorder="1" applyAlignment="1">
      <alignment horizontal="center" vertical="center"/>
    </xf>
    <xf numFmtId="10" fontId="2" fillId="8" borderId="11" xfId="0" applyNumberFormat="1" applyFont="1" applyFill="1" applyBorder="1" applyAlignment="1">
      <alignment horizontal="center" vertical="center"/>
    </xf>
    <xf numFmtId="3" fontId="1" fillId="0" borderId="9" xfId="0" applyNumberFormat="1" applyFont="1" applyBorder="1" applyAlignment="1">
      <alignment horizontal="center"/>
    </xf>
    <xf numFmtId="49" fontId="2" fillId="9" borderId="12" xfId="0" applyNumberFormat="1" applyFont="1" applyFill="1" applyBorder="1" applyAlignment="1">
      <alignment horizontal="center"/>
    </xf>
    <xf numFmtId="0" fontId="7" fillId="8" borderId="12" xfId="0" applyFont="1" applyFill="1" applyBorder="1"/>
    <xf numFmtId="0" fontId="2" fillId="9" borderId="9" xfId="0" applyFont="1" applyFill="1" applyBorder="1" applyAlignment="1">
      <alignment horizontal="center"/>
    </xf>
    <xf numFmtId="167" fontId="2" fillId="9" borderId="9" xfId="0" applyNumberFormat="1" applyFont="1" applyFill="1" applyBorder="1" applyAlignment="1">
      <alignment horizontal="center"/>
    </xf>
    <xf numFmtId="180" fontId="2" fillId="9" borderId="12" xfId="0" applyNumberFormat="1" applyFont="1" applyFill="1" applyBorder="1" applyAlignment="1">
      <alignment horizontal="center"/>
    </xf>
    <xf numFmtId="180" fontId="7" fillId="8" borderId="12" xfId="0" applyNumberFormat="1" applyFont="1" applyFill="1" applyBorder="1"/>
    <xf numFmtId="0" fontId="13" fillId="9" borderId="12" xfId="0" applyFont="1" applyFill="1" applyBorder="1" applyAlignment="1">
      <alignment horizontal="center" vertical="center" wrapText="1"/>
    </xf>
    <xf numFmtId="0" fontId="13" fillId="9" borderId="9" xfId="0" applyFont="1" applyFill="1" applyBorder="1" applyAlignment="1">
      <alignment horizontal="center" vertical="center"/>
    </xf>
    <xf numFmtId="0" fontId="13" fillId="9" borderId="12" xfId="0" applyFont="1" applyFill="1" applyBorder="1" applyAlignment="1">
      <alignment horizontal="center" vertical="center"/>
    </xf>
    <xf numFmtId="0" fontId="2" fillId="9" borderId="12" xfId="0" applyFont="1" applyFill="1" applyBorder="1" applyAlignment="1">
      <alignment horizontal="center"/>
    </xf>
    <xf numFmtId="168" fontId="5" fillId="0" borderId="11" xfId="0" applyNumberFormat="1" applyFont="1" applyBorder="1" applyAlignment="1">
      <alignment horizontal="center"/>
    </xf>
    <xf numFmtId="4" fontId="5" fillId="0" borderId="12" xfId="0" applyNumberFormat="1" applyFont="1" applyBorder="1" applyAlignment="1">
      <alignment horizontal="center" vertical="center"/>
    </xf>
    <xf numFmtId="4" fontId="5" fillId="0" borderId="9" xfId="0" applyNumberFormat="1" applyFont="1" applyBorder="1" applyAlignment="1">
      <alignment horizontal="center" vertical="center"/>
    </xf>
    <xf numFmtId="4" fontId="5" fillId="0" borderId="11" xfId="0" applyNumberFormat="1" applyFont="1" applyBorder="1" applyAlignment="1">
      <alignment horizontal="center" vertical="center"/>
    </xf>
    <xf numFmtId="0" fontId="3" fillId="0" borderId="12" xfId="0" applyFont="1" applyBorder="1" applyAlignment="1">
      <alignment horizontal="center"/>
    </xf>
    <xf numFmtId="0" fontId="2" fillId="9" borderId="12" xfId="0" applyFont="1" applyFill="1" applyBorder="1" applyAlignment="1">
      <alignment horizontal="left" vertical="center" wrapText="1"/>
    </xf>
    <xf numFmtId="10" fontId="2" fillId="16" borderId="26" xfId="0" applyNumberFormat="1" applyFont="1" applyFill="1" applyBorder="1" applyAlignment="1">
      <alignment horizontal="center"/>
    </xf>
    <xf numFmtId="10" fontId="2" fillId="16" borderId="25" xfId="0" applyNumberFormat="1" applyFont="1" applyFill="1" applyBorder="1" applyAlignment="1">
      <alignment horizontal="center"/>
    </xf>
    <xf numFmtId="0" fontId="2" fillId="9" borderId="9" xfId="0" applyFont="1" applyFill="1" applyBorder="1" applyAlignment="1">
      <alignment horizontal="center" vertical="center" wrapText="1"/>
    </xf>
    <xf numFmtId="0" fontId="2" fillId="9" borderId="11" xfId="0" applyFont="1" applyFill="1" applyBorder="1" applyAlignment="1">
      <alignment horizontal="center" vertical="center" wrapText="1"/>
    </xf>
    <xf numFmtId="0" fontId="5" fillId="0" borderId="9" xfId="0" applyFont="1" applyBorder="1" applyAlignment="1">
      <alignment horizontal="center"/>
    </xf>
    <xf numFmtId="2" fontId="7" fillId="0" borderId="9" xfId="0" applyNumberFormat="1" applyFont="1" applyBorder="1" applyAlignment="1">
      <alignment horizontal="center"/>
    </xf>
    <xf numFmtId="2" fontId="7" fillId="0" borderId="9" xfId="0" applyNumberFormat="1" applyFont="1" applyBorder="1"/>
    <xf numFmtId="2" fontId="2" fillId="9" borderId="9" xfId="0" applyNumberFormat="1" applyFont="1" applyFill="1" applyBorder="1" applyAlignment="1">
      <alignment horizontal="center"/>
    </xf>
    <xf numFmtId="2" fontId="7" fillId="8" borderId="9" xfId="0" applyNumberFormat="1" applyFont="1" applyFill="1" applyBorder="1"/>
    <xf numFmtId="0" fontId="7" fillId="12" borderId="9" xfId="0" applyFont="1" applyFill="1" applyBorder="1"/>
    <xf numFmtId="0" fontId="1" fillId="12" borderId="11" xfId="0" applyFont="1" applyFill="1" applyBorder="1"/>
    <xf numFmtId="0" fontId="7" fillId="12" borderId="11" xfId="0" applyFont="1" applyFill="1" applyBorder="1"/>
    <xf numFmtId="3" fontId="1" fillId="0" borderId="15" xfId="0" applyNumberFormat="1" applyFont="1" applyBorder="1" applyAlignment="1">
      <alignment horizontal="center"/>
    </xf>
    <xf numFmtId="0" fontId="7" fillId="0" borderId="15" xfId="0" applyFont="1" applyBorder="1"/>
    <xf numFmtId="0" fontId="7" fillId="0" borderId="9" xfId="0" applyFont="1" applyBorder="1"/>
    <xf numFmtId="10" fontId="2" fillId="9" borderId="9" xfId="0" applyNumberFormat="1" applyFont="1" applyFill="1" applyBorder="1" applyAlignment="1">
      <alignment horizontal="center"/>
    </xf>
    <xf numFmtId="10" fontId="7" fillId="8" borderId="9" xfId="0" applyNumberFormat="1" applyFont="1" applyFill="1" applyBorder="1"/>
    <xf numFmtId="10" fontId="7" fillId="0" borderId="9" xfId="0" applyNumberFormat="1" applyFont="1" applyBorder="1" applyAlignment="1">
      <alignment horizontal="center"/>
    </xf>
    <xf numFmtId="10" fontId="7" fillId="0" borderId="9" xfId="0" applyNumberFormat="1" applyFont="1" applyBorder="1"/>
    <xf numFmtId="3" fontId="2" fillId="8" borderId="9" xfId="0" applyNumberFormat="1" applyFont="1" applyFill="1" applyBorder="1" applyAlignment="1">
      <alignment horizontal="center"/>
    </xf>
    <xf numFmtId="10" fontId="1" fillId="0" borderId="19" xfId="0" applyNumberFormat="1" applyFont="1" applyBorder="1" applyAlignment="1">
      <alignment horizontal="center"/>
    </xf>
    <xf numFmtId="10" fontId="1" fillId="0" borderId="33" xfId="0" applyNumberFormat="1" applyFont="1" applyBorder="1" applyAlignment="1">
      <alignment horizontal="center"/>
    </xf>
    <xf numFmtId="10" fontId="1" fillId="0" borderId="22" xfId="0" applyNumberFormat="1" applyFont="1" applyBorder="1" applyAlignment="1">
      <alignment horizontal="center"/>
    </xf>
    <xf numFmtId="0" fontId="15" fillId="21" borderId="9" xfId="0" applyFont="1" applyFill="1" applyBorder="1" applyAlignment="1">
      <alignment horizontal="center"/>
    </xf>
    <xf numFmtId="4" fontId="15" fillId="0" borderId="9" xfId="0" applyNumberFormat="1" applyFont="1" applyBorder="1" applyAlignment="1">
      <alignment horizontal="center"/>
    </xf>
    <xf numFmtId="4" fontId="15" fillId="0" borderId="32" xfId="0" applyNumberFormat="1" applyFont="1" applyBorder="1" applyAlignment="1">
      <alignment horizontal="center"/>
    </xf>
    <xf numFmtId="0" fontId="5" fillId="0" borderId="9" xfId="0" quotePrefix="1" applyFont="1" applyBorder="1" applyAlignment="1">
      <alignment horizontal="center"/>
    </xf>
  </cellXfs>
  <cellStyles count="3">
    <cellStyle name="Comma" xfId="1" builtinId="3"/>
    <cellStyle name="Hyperlink" xfId="2" builtinId="8"/>
    <cellStyle name="Normal" xfId="0" builtinId="0"/>
  </cellStyles>
  <dxfs count="24"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>
          <bgColor theme="2" tint="-0.14996795556505021"/>
        </patternFill>
      </fill>
    </dxf>
    <dxf>
      <fill>
        <patternFill>
          <bgColor theme="2" tint="-0.14996795556505021"/>
        </patternFill>
      </fill>
    </dxf>
    <dxf>
      <fill>
        <patternFill patternType="solid">
          <bgColor theme="0" tint="-0.14999847407452621"/>
        </patternFill>
      </fill>
    </dxf>
    <dxf>
      <fill>
        <patternFill>
          <bgColor theme="2" tint="-0.149967955565050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ont>
        <color theme="0"/>
      </font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ill>
        <patternFill patternType="solid">
          <fgColor rgb="FFDD7E6B"/>
          <bgColor rgb="FFDD7E6B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2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7" tint="0.79998168889431442"/>
        </patternFill>
      </fill>
    </dxf>
  </dxfs>
  <tableStyles count="0" defaultTableStyle="TableStyleMedium2" defaultPivotStyle="PivotStyleLight16"/>
  <colors>
    <mruColors>
      <color rgb="FF0000FF"/>
      <color rgb="FFFFFFCC"/>
      <color rgb="FFB6D7A8"/>
      <color rgb="FFCC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Visualizations!$B$24</c:f>
              <c:strCache>
                <c:ptCount val="1"/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numRef>
              <c:f>Visualizations!$C$18:$M$18</c:f>
              <c:numCache>
                <c:formatCode>0</c:formatCode>
                <c:ptCount val="11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  <c:pt idx="5">
                  <c:v>2017</c:v>
                </c:pt>
                <c:pt idx="6">
                  <c:v>2018</c:v>
                </c:pt>
                <c:pt idx="7">
                  <c:v>2019</c:v>
                </c:pt>
                <c:pt idx="8">
                  <c:v>2020</c:v>
                </c:pt>
                <c:pt idx="9">
                  <c:v>2021</c:v>
                </c:pt>
                <c:pt idx="10">
                  <c:v>2022</c:v>
                </c:pt>
              </c:numCache>
            </c:numRef>
          </c:cat>
          <c:val>
            <c:numRef>
              <c:f>Visualizations!$C$24:$M$24</c:f>
              <c:numCache>
                <c:formatCode>#,##0</c:formatCode>
                <c:ptCount val="11"/>
              </c:numCache>
            </c:numRef>
          </c:val>
          <c:extLst>
            <c:ext xmlns:c16="http://schemas.microsoft.com/office/drawing/2014/chart" uri="{C3380CC4-5D6E-409C-BE32-E72D297353CC}">
              <c16:uniqueId val="{00000000-4728-4209-95EB-CBD88371A978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694688256"/>
        <c:axId val="694695456"/>
      </c:barChart>
      <c:lineChart>
        <c:grouping val="standard"/>
        <c:varyColors val="0"/>
        <c:ser>
          <c:idx val="1"/>
          <c:order val="1"/>
          <c:tx>
            <c:strRef>
              <c:f>Visualizations!$B$25</c:f>
              <c:strCache>
                <c:ptCount val="1"/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dLbl>
              <c:idx val="10"/>
              <c:layout>
                <c:manualLayout>
                  <c:x val="-3.3333333333333333E-2"/>
                  <c:y val="4.1618497109826506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4728-4209-95EB-CBD88371A978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Visualizations!$C$25:$M$25</c:f>
              <c:numCache>
                <c:formatCode>0.00%</c:formatCode>
                <c:ptCount val="11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728-4209-95EB-CBD88371A978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694691136"/>
        <c:axId val="694690776"/>
      </c:lineChart>
      <c:catAx>
        <c:axId val="694688256"/>
        <c:scaling>
          <c:orientation val="minMax"/>
        </c:scaling>
        <c:delete val="0"/>
        <c:axPos val="b"/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4695456"/>
        <c:crosses val="autoZero"/>
        <c:auto val="1"/>
        <c:lblAlgn val="ctr"/>
        <c:lblOffset val="100"/>
        <c:noMultiLvlLbl val="0"/>
      </c:catAx>
      <c:valAx>
        <c:axId val="694695456"/>
        <c:scaling>
          <c:orientation val="minMax"/>
        </c:scaling>
        <c:delete val="0"/>
        <c:axPos val="l"/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4688256"/>
        <c:crosses val="autoZero"/>
        <c:crossBetween val="between"/>
      </c:valAx>
      <c:valAx>
        <c:axId val="694690776"/>
        <c:scaling>
          <c:orientation val="minMax"/>
        </c:scaling>
        <c:delete val="0"/>
        <c:axPos val="r"/>
        <c:numFmt formatCode="0.0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4691136"/>
        <c:crosses val="max"/>
        <c:crossBetween val="between"/>
      </c:valAx>
      <c:catAx>
        <c:axId val="694691136"/>
        <c:scaling>
          <c:orientation val="minMax"/>
        </c:scaling>
        <c:delete val="1"/>
        <c:axPos val="b"/>
        <c:majorTickMark val="none"/>
        <c:minorTickMark val="none"/>
        <c:tickLblPos val="nextTo"/>
        <c:crossAx val="694690776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Visualizations!$B$48</c:f>
              <c:strCache>
                <c:ptCount val="1"/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Visualizations!$C$47:$M$47</c15:sqref>
                  </c15:fullRef>
                </c:ext>
              </c:extLst>
              <c:f>Visualizations!$J$47:$M$47</c:f>
              <c:numCache>
                <c:formatCode>0</c:formatCod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Visualizations!$C$48:$M$48</c15:sqref>
                  </c15:fullRef>
                </c:ext>
              </c:extLst>
              <c:f>Visualizations!$J$48:$M$48</c:f>
              <c:numCache>
                <c:formatCode>0.00%</c:formatCode>
                <c:ptCount val="4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3B2-4AF6-BEAD-25D09DC686F6}"/>
            </c:ext>
          </c:extLst>
        </c:ser>
        <c:ser>
          <c:idx val="1"/>
          <c:order val="1"/>
          <c:tx>
            <c:strRef>
              <c:f>Visualizations!$B$49</c:f>
              <c:strCache>
                <c:ptCount val="1"/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Visualizations!$C$47:$M$47</c15:sqref>
                  </c15:fullRef>
                </c:ext>
              </c:extLst>
              <c:f>Visualizations!$J$47:$M$47</c:f>
              <c:numCache>
                <c:formatCode>0</c:formatCod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Visualizations!$C$49:$M$49</c15:sqref>
                  </c15:fullRef>
                </c:ext>
              </c:extLst>
              <c:f>Visualizations!$J$49:$M$49</c:f>
              <c:numCache>
                <c:formatCode>0.00%</c:formatCode>
                <c:ptCount val="4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3B2-4AF6-BEAD-25D09DC686F6}"/>
            </c:ext>
          </c:extLst>
        </c:ser>
        <c:ser>
          <c:idx val="2"/>
          <c:order val="2"/>
          <c:tx>
            <c:strRef>
              <c:f>Visualizations!$B$50</c:f>
              <c:strCache>
                <c:ptCount val="1"/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Visualizations!$C$47:$M$47</c15:sqref>
                  </c15:fullRef>
                </c:ext>
              </c:extLst>
              <c:f>Visualizations!$J$47:$M$47</c:f>
              <c:numCache>
                <c:formatCode>0</c:formatCod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Visualizations!$C$50:$M$50</c15:sqref>
                  </c15:fullRef>
                </c:ext>
              </c:extLst>
              <c:f>Visualizations!$J$50:$M$50</c:f>
              <c:numCache>
                <c:formatCode>0.00%</c:formatCode>
                <c:ptCount val="4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3B2-4AF6-BEAD-25D09DC686F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94723176"/>
        <c:axId val="694720296"/>
      </c:lineChart>
      <c:catAx>
        <c:axId val="694723176"/>
        <c:scaling>
          <c:orientation val="minMax"/>
        </c:scaling>
        <c:delete val="0"/>
        <c:axPos val="b"/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4720296"/>
        <c:crosses val="autoZero"/>
        <c:auto val="1"/>
        <c:lblAlgn val="ctr"/>
        <c:lblOffset val="100"/>
        <c:noMultiLvlLbl val="0"/>
      </c:catAx>
      <c:valAx>
        <c:axId val="694720296"/>
        <c:scaling>
          <c:orientation val="minMax"/>
        </c:scaling>
        <c:delete val="0"/>
        <c:axPos val="l"/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47231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Visualizations!$B$73</c:f>
              <c:strCache>
                <c:ptCount val="1"/>
                <c:pt idx="0">
                  <c:v>销货成本率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extLst>
                <c:ext xmlns:c15="http://schemas.microsoft.com/office/drawing/2012/chart" uri="{02D57815-91ED-43cb-92C2-25804820EDAC}">
                  <c15:fullRef>
                    <c15:sqref>Visualizations!$C$72:$M$72</c15:sqref>
                  </c15:fullRef>
                </c:ext>
              </c:extLst>
              <c:f>Visualizations!$J$72:$M$72</c:f>
              <c:numCache>
                <c:formatCode>0</c:formatCod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Visualizations!$C$73:$M$73</c15:sqref>
                  </c15:fullRef>
                </c:ext>
              </c:extLst>
              <c:f>Visualizations!$J$73:$M$73</c:f>
              <c:numCache>
                <c:formatCode>0.00%</c:formatCode>
                <c:ptCount val="4"/>
              </c:numCache>
            </c:numRef>
          </c:val>
          <c:extLst>
            <c:ext xmlns:c16="http://schemas.microsoft.com/office/drawing/2014/chart" uri="{C3380CC4-5D6E-409C-BE32-E72D297353CC}">
              <c16:uniqueId val="{00000000-E64A-4929-9CD3-82C16AFCB77B}"/>
            </c:ext>
          </c:extLst>
        </c:ser>
        <c:ser>
          <c:idx val="1"/>
          <c:order val="1"/>
          <c:tx>
            <c:strRef>
              <c:f>Visualizations!$B$74</c:f>
              <c:strCache>
                <c:ptCount val="1"/>
                <c:pt idx="0">
                  <c:v>销售费+管理费用率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Visualizations!$C$72:$M$72</c15:sqref>
                  </c15:fullRef>
                </c:ext>
              </c:extLst>
              <c:f>Visualizations!$J$72:$M$72</c:f>
              <c:numCache>
                <c:formatCode>0</c:formatCod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Visualizations!$C$74:$M$74</c15:sqref>
                  </c15:fullRef>
                </c:ext>
              </c:extLst>
              <c:f>Visualizations!$J$74:$M$74</c:f>
              <c:numCache>
                <c:formatCode>General</c:formatCode>
                <c:ptCount val="4"/>
              </c:numCache>
            </c:numRef>
          </c:val>
          <c:extLst>
            <c:ext xmlns:c16="http://schemas.microsoft.com/office/drawing/2014/chart" uri="{C3380CC4-5D6E-409C-BE32-E72D297353CC}">
              <c16:uniqueId val="{00000001-E64A-4929-9CD3-82C16AFCB77B}"/>
            </c:ext>
          </c:extLst>
        </c:ser>
        <c:ser>
          <c:idx val="2"/>
          <c:order val="2"/>
          <c:tx>
            <c:strRef>
              <c:f>Visualizations!$B$75</c:f>
              <c:strCache>
                <c:ptCount val="1"/>
                <c:pt idx="0">
                  <c:v>税前财务费用率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extLst>
                <c:ext xmlns:c15="http://schemas.microsoft.com/office/drawing/2012/chart" uri="{02D57815-91ED-43cb-92C2-25804820EDAC}">
                  <c15:fullRef>
                    <c15:sqref>Visualizations!$C$72:$M$72</c15:sqref>
                  </c15:fullRef>
                </c:ext>
              </c:extLst>
              <c:f>Visualizations!$J$72:$M$72</c:f>
              <c:numCache>
                <c:formatCode>0</c:formatCod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Visualizations!$C$75:$M$75</c15:sqref>
                  </c15:fullRef>
                </c:ext>
              </c:extLst>
              <c:f>Visualizations!$J$75:$M$75</c:f>
              <c:numCache>
                <c:formatCode>General</c:formatCode>
                <c:ptCount val="4"/>
              </c:numCache>
            </c:numRef>
          </c:val>
          <c:extLst>
            <c:ext xmlns:c16="http://schemas.microsoft.com/office/drawing/2014/chart" uri="{C3380CC4-5D6E-409C-BE32-E72D297353CC}">
              <c16:uniqueId val="{00000002-E64A-4929-9CD3-82C16AFCB77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98047136"/>
        <c:axId val="698049296"/>
      </c:barChart>
      <c:lineChart>
        <c:grouping val="standard"/>
        <c:varyColors val="0"/>
        <c:ser>
          <c:idx val="3"/>
          <c:order val="3"/>
          <c:tx>
            <c:strRef>
              <c:f>Visualizations!$B$76</c:f>
              <c:strCache>
                <c:ptCount val="1"/>
                <c:pt idx="0">
                  <c:v>利润率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dLbls>
            <c:spPr>
              <a:solidFill>
                <a:srgbClr val="FFFFFF"/>
              </a:solidFill>
              <a:ln>
                <a:solidFill>
                  <a:srgbClr val="000000">
                    <a:lumMod val="25000"/>
                    <a:lumOff val="75000"/>
                  </a:srgbClr>
                </a:solidFill>
              </a:ln>
              <a:effectLst/>
            </c:spPr>
            <c:txPr>
              <a:bodyPr rot="0" spcFirstLastPara="1" vertOverflow="clip" horzOverflow="clip" vert="horz" wrap="square" lIns="36576" tIns="18288" rIns="36576" bIns="18288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4"/>
              <c:pt idx="0">
                <c:v>8</c:v>
              </c:pt>
              <c:pt idx="1">
                <c:v>9</c:v>
              </c:pt>
              <c:pt idx="2">
                <c:v>10</c:v>
              </c:pt>
              <c:pt idx="3">
                <c:v>11</c:v>
              </c:pt>
              <c:extLst>
                <c:ext xmlns:c15="http://schemas.microsoft.com/office/drawing/2012/chart" uri="{02D57815-91ED-43cb-92C2-25804820EDAC}">
                  <c15:autoCat val="1"/>
                </c:ext>
              </c:extLst>
            </c:strLit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Visualizations!$C$76:$M$76</c15:sqref>
                  </c15:fullRef>
                </c:ext>
              </c:extLst>
              <c:f>Visualizations!$J$76:$M$76</c:f>
              <c:numCache>
                <c:formatCode>General</c:formatCode>
                <c:ptCount val="4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E64A-4929-9CD3-82C16AFCB77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87857848"/>
        <c:axId val="687862168"/>
      </c:lineChart>
      <c:catAx>
        <c:axId val="698047136"/>
        <c:scaling>
          <c:orientation val="minMax"/>
        </c:scaling>
        <c:delete val="0"/>
        <c:axPos val="b"/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8049296"/>
        <c:crosses val="autoZero"/>
        <c:auto val="1"/>
        <c:lblAlgn val="ctr"/>
        <c:lblOffset val="100"/>
        <c:noMultiLvlLbl val="0"/>
      </c:catAx>
      <c:valAx>
        <c:axId val="698049296"/>
        <c:scaling>
          <c:orientation val="minMax"/>
        </c:scaling>
        <c:delete val="0"/>
        <c:axPos val="l"/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8047136"/>
        <c:crosses val="autoZero"/>
        <c:crossBetween val="between"/>
      </c:valAx>
      <c:valAx>
        <c:axId val="687862168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7857848"/>
        <c:crosses val="max"/>
        <c:crossBetween val="between"/>
      </c:valAx>
      <c:catAx>
        <c:axId val="687857848"/>
        <c:scaling>
          <c:orientation val="minMax"/>
        </c:scaling>
        <c:delete val="1"/>
        <c:axPos val="b"/>
        <c:majorTickMark val="out"/>
        <c:minorTickMark val="none"/>
        <c:tickLblPos val="nextTo"/>
        <c:crossAx val="687862168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Visualizations!$B$80</c:f>
              <c:strCache>
                <c:ptCount val="1"/>
                <c:pt idx="0">
                  <c:v>EBIT (千人民币)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Visualizations!$C$79:$M$79</c15:sqref>
                  </c15:fullRef>
                </c:ext>
              </c:extLst>
              <c:f>Visualizations!$J$79:$M$79</c:f>
              <c:numCache>
                <c:formatCode>0</c:formatCod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Visualizations!$C$80:$M$80</c15:sqref>
                  </c15:fullRef>
                </c:ext>
              </c:extLst>
              <c:f>Visualizations!$J$80:$M$80</c:f>
              <c:numCache>
                <c:formatCode>General</c:formatCode>
                <c:ptCount val="4"/>
              </c:numCache>
            </c:numRef>
          </c:val>
          <c:extLst>
            <c:ext xmlns:c16="http://schemas.microsoft.com/office/drawing/2014/chart" uri="{C3380CC4-5D6E-409C-BE32-E72D297353CC}">
              <c16:uniqueId val="{00000000-8CCC-4C78-8E7A-53649E55E012}"/>
            </c:ext>
          </c:extLst>
        </c:ser>
        <c:ser>
          <c:idx val="1"/>
          <c:order val="1"/>
          <c:tx>
            <c:strRef>
              <c:f>Visualizations!$B$81</c:f>
              <c:strCache>
                <c:ptCount val="1"/>
                <c:pt idx="0">
                  <c:v>财务费用 (千人民币)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Visualizations!$C$79:$M$79</c15:sqref>
                  </c15:fullRef>
                </c:ext>
              </c:extLst>
              <c:f>Visualizations!$J$79:$M$79</c:f>
              <c:numCache>
                <c:formatCode>0</c:formatCod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Visualizations!$C$81:$M$81</c15:sqref>
                  </c15:fullRef>
                </c:ext>
              </c:extLst>
              <c:f>Visualizations!$J$81:$M$81</c:f>
              <c:numCache>
                <c:formatCode>General</c:formatCode>
                <c:ptCount val="4"/>
              </c:numCache>
            </c:numRef>
          </c:val>
          <c:extLst>
            <c:ext xmlns:c16="http://schemas.microsoft.com/office/drawing/2014/chart" uri="{C3380CC4-5D6E-409C-BE32-E72D297353CC}">
              <c16:uniqueId val="{00000001-8CCC-4C78-8E7A-53649E55E01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27934096"/>
        <c:axId val="627930136"/>
      </c:barChart>
      <c:lineChart>
        <c:grouping val="standard"/>
        <c:varyColors val="0"/>
        <c:ser>
          <c:idx val="2"/>
          <c:order val="2"/>
          <c:tx>
            <c:strRef>
              <c:f>Visualizations!$B$82</c:f>
              <c:strCache>
                <c:ptCount val="1"/>
                <c:pt idx="0">
                  <c:v>财务费用占比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Visualizations!$C$79:$M$79</c15:sqref>
                  </c15:fullRef>
                </c:ext>
              </c:extLst>
              <c:f>Visualizations!$J$79:$M$79</c:f>
              <c:numCache>
                <c:formatCode>0</c:formatCod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Visualizations!$C$82:$M$82</c15:sqref>
                  </c15:fullRef>
                </c:ext>
              </c:extLst>
              <c:f>Visualizations!$J$82:$M$82</c:f>
              <c:numCache>
                <c:formatCode>General</c:formatCode>
                <c:ptCount val="4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CCC-4C78-8E7A-53649E55E01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27936256"/>
        <c:axId val="627931216"/>
      </c:lineChart>
      <c:catAx>
        <c:axId val="627934096"/>
        <c:scaling>
          <c:orientation val="minMax"/>
        </c:scaling>
        <c:delete val="0"/>
        <c:axPos val="b"/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7930136"/>
        <c:crosses val="autoZero"/>
        <c:auto val="1"/>
        <c:lblAlgn val="ctr"/>
        <c:lblOffset val="100"/>
        <c:noMultiLvlLbl val="0"/>
      </c:catAx>
      <c:valAx>
        <c:axId val="62793013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7934096"/>
        <c:crosses val="autoZero"/>
        <c:crossBetween val="between"/>
      </c:valAx>
      <c:valAx>
        <c:axId val="627931216"/>
        <c:scaling>
          <c:orientation val="minMax"/>
        </c:scaling>
        <c:delete val="0"/>
        <c:axPos val="r"/>
        <c:numFmt formatCode="0.0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7936256"/>
        <c:crosses val="max"/>
        <c:crossBetween val="between"/>
      </c:valAx>
      <c:catAx>
        <c:axId val="627936256"/>
        <c:scaling>
          <c:orientation val="minMax"/>
        </c:scaling>
        <c:delete val="1"/>
        <c:axPos val="b"/>
        <c:numFmt formatCode="0" sourceLinked="1"/>
        <c:majorTickMark val="none"/>
        <c:minorTickMark val="none"/>
        <c:tickLblPos val="nextTo"/>
        <c:crossAx val="627931216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1"/>
          <c:order val="1"/>
          <c:tx>
            <c:strRef>
              <c:f>Visualizations!$B$105</c:f>
              <c:strCache>
                <c:ptCount val="1"/>
                <c:pt idx="0">
                  <c:v>资本投入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Visualizations!$C$103:$M$103</c15:sqref>
                  </c15:fullRef>
                </c:ext>
              </c:extLst>
              <c:f>Visualizations!$J$103:$M$103</c:f>
              <c:numCache>
                <c:formatCode>0</c:formatCod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Visualizations!$C$105:$M$105</c15:sqref>
                  </c15:fullRef>
                </c:ext>
              </c:extLst>
              <c:f>Visualizations!$J$105:$M$105</c:f>
              <c:numCache>
                <c:formatCode>General</c:formatCode>
                <c:ptCount val="4"/>
                <c:pt idx="0" formatCode="#,##0">
                  <c:v>69000</c:v>
                </c:pt>
                <c:pt idx="1" formatCode="#,##0">
                  <c:v>56000</c:v>
                </c:pt>
                <c:pt idx="2" formatCode="#,##0">
                  <c:v>247000</c:v>
                </c:pt>
                <c:pt idx="3" formatCode="#,##0">
                  <c:v>1176000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52C-4201-8189-2364948D355C}"/>
            </c:ext>
          </c:extLst>
        </c:ser>
        <c:ser>
          <c:idx val="2"/>
          <c:order val="2"/>
          <c:tx>
            <c:strRef>
              <c:f>Visualizations!$B$106</c:f>
              <c:strCache>
                <c:ptCount val="1"/>
                <c:pt idx="0">
                  <c:v>现金分红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Visualizations!$C$103:$M$103</c15:sqref>
                  </c15:fullRef>
                </c:ext>
              </c:extLst>
              <c:f>Visualizations!$J$103:$M$103</c:f>
              <c:numCache>
                <c:formatCode>0</c:formatCod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Visualizations!$C$106:$M$106</c15:sqref>
                  </c15:fullRef>
                </c:ext>
              </c:extLst>
              <c:f>Visualizations!$J$106:$M$106</c:f>
              <c:numCache>
                <c:formatCode>General</c:formatCode>
                <c:ptCount val="4"/>
                <c:pt idx="0" formatCode="#,##0">
                  <c:v>7352</c:v>
                </c:pt>
                <c:pt idx="1" formatCode="#,##0">
                  <c:v>37000</c:v>
                </c:pt>
                <c:pt idx="2" formatCode="#,##0">
                  <c:v>36302</c:v>
                </c:pt>
                <c:pt idx="3" formatCode="#,##0">
                  <c:v>182000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52C-4201-8189-2364948D355C}"/>
            </c:ext>
          </c:extLst>
        </c:ser>
        <c:ser>
          <c:idx val="3"/>
          <c:order val="3"/>
          <c:tx>
            <c:strRef>
              <c:f>Visualizations!$B$107</c:f>
              <c:strCache>
                <c:ptCount val="1"/>
                <c:pt idx="0">
                  <c:v>回购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Visualizations!$C$103:$M$103</c15:sqref>
                  </c15:fullRef>
                </c:ext>
              </c:extLst>
              <c:f>Visualizations!$J$103:$M$103</c:f>
              <c:numCache>
                <c:formatCode>0</c:formatCod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Visualizations!$C$107:$M$107</c15:sqref>
                  </c15:fullRef>
                </c:ext>
              </c:extLst>
              <c:f>Visualizations!$J$107:$M$107</c:f>
              <c:numCache>
                <c:formatCode>General</c:formatCode>
                <c:ptCount val="4"/>
                <c:pt idx="0">
                  <c:v>0</c:v>
                </c:pt>
                <c:pt idx="1">
                  <c:v>0</c:v>
                </c:pt>
                <c:pt idx="2" formatCode="#,##0">
                  <c:v>0</c:v>
                </c:pt>
                <c:pt idx="3" formatCode="#,##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52C-4201-8189-2364948D355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100"/>
        <c:axId val="718083320"/>
        <c:axId val="718079720"/>
      </c:barChart>
      <c:lineChart>
        <c:grouping val="standard"/>
        <c:varyColors val="0"/>
        <c:ser>
          <c:idx val="0"/>
          <c:order val="0"/>
          <c:tx>
            <c:strRef>
              <c:f>Visualizations!$B$104</c:f>
              <c:strCache>
                <c:ptCount val="1"/>
                <c:pt idx="0">
                  <c:v>利润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Visualizations!$C$103:$M$103</c15:sqref>
                  </c15:fullRef>
                </c:ext>
              </c:extLst>
              <c:f>Visualizations!$J$103:$M$103</c:f>
              <c:numCache>
                <c:formatCode>0</c:formatCod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Visualizations!$C$104:$M$104</c15:sqref>
                  </c15:fullRef>
                </c:ext>
              </c:extLst>
              <c:f>Visualizations!$J$104:$M$104</c:f>
              <c:numCache>
                <c:formatCode>General</c:formatCode>
                <c:ptCount val="4"/>
                <c:pt idx="0" formatCode="#,##0">
                  <c:v>25020</c:v>
                </c:pt>
                <c:pt idx="1" formatCode="#,##0">
                  <c:v>68639</c:v>
                </c:pt>
                <c:pt idx="2" formatCode="#,##0">
                  <c:v>327798</c:v>
                </c:pt>
                <c:pt idx="3" formatCode="#,##0">
                  <c:v>582451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352C-4201-8189-2364948D355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18083320"/>
        <c:axId val="718079720"/>
      </c:lineChart>
      <c:catAx>
        <c:axId val="718083320"/>
        <c:scaling>
          <c:orientation val="minMax"/>
        </c:scaling>
        <c:delete val="0"/>
        <c:axPos val="b"/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8079720"/>
        <c:crosses val="autoZero"/>
        <c:auto val="1"/>
        <c:lblAlgn val="ctr"/>
        <c:lblOffset val="100"/>
        <c:noMultiLvlLbl val="0"/>
      </c:catAx>
      <c:valAx>
        <c:axId val="718079720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80833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Visualizations!$B$111</c:f>
              <c:strCache>
                <c:ptCount val="1"/>
                <c:pt idx="0">
                  <c:v>短期有息债 (千人民币)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Visualizations!$C$103:$M$103</c15:sqref>
                  </c15:fullRef>
                </c:ext>
              </c:extLst>
              <c:f>Visualizations!$J$103:$M$103</c:f>
              <c:numCache>
                <c:formatCode>0</c:formatCod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Visualizations!$C$111:$M$111</c15:sqref>
                  </c15:fullRef>
                </c:ext>
              </c:extLst>
              <c:f>Visualizations!$J$111:$M$111</c:f>
              <c:numCache>
                <c:formatCode>General</c:formatCode>
                <c:ptCount val="4"/>
                <c:pt idx="0" formatCode="#,##0">
                  <c:v>1315974</c:v>
                </c:pt>
                <c:pt idx="1" formatCode="#,##0">
                  <c:v>2298560</c:v>
                </c:pt>
                <c:pt idx="2" formatCode="#,##0">
                  <c:v>2061289</c:v>
                </c:pt>
                <c:pt idx="3" formatCode="#,##0">
                  <c:v>2916855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D1C-4468-B9C4-32E991BC0C61}"/>
            </c:ext>
          </c:extLst>
        </c:ser>
        <c:ser>
          <c:idx val="1"/>
          <c:order val="1"/>
          <c:tx>
            <c:strRef>
              <c:f>Visualizations!$B$112</c:f>
              <c:strCache>
                <c:ptCount val="1"/>
                <c:pt idx="0">
                  <c:v>长期有息债 (千人民币)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Visualizations!$C$103:$M$103</c15:sqref>
                  </c15:fullRef>
                </c:ext>
              </c:extLst>
              <c:f>Visualizations!$J$103:$M$103</c:f>
              <c:numCache>
                <c:formatCode>0</c:formatCod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Visualizations!$C$112:$M$112</c15:sqref>
                  </c15:fullRef>
                </c:ext>
              </c:extLst>
              <c:f>Visualizations!$J$112:$M$112</c:f>
              <c:numCache>
                <c:formatCode>General</c:formatCode>
                <c:ptCount val="4"/>
                <c:pt idx="0" formatCode="#,##0">
                  <c:v>3886094</c:v>
                </c:pt>
                <c:pt idx="1" formatCode="#,##0">
                  <c:v>2774281</c:v>
                </c:pt>
                <c:pt idx="2" formatCode="#,##0">
                  <c:v>4254707</c:v>
                </c:pt>
                <c:pt idx="3" formatCode="#,##0">
                  <c:v>4294664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D1C-4468-B9C4-32E991BC0C6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100"/>
        <c:axId val="773910808"/>
        <c:axId val="773918368"/>
      </c:barChart>
      <c:lineChart>
        <c:grouping val="standard"/>
        <c:varyColors val="0"/>
        <c:ser>
          <c:idx val="2"/>
          <c:order val="2"/>
          <c:tx>
            <c:strRef>
              <c:f>Visualizations!$B$113</c:f>
              <c:strCache>
                <c:ptCount val="1"/>
                <c:pt idx="0">
                  <c:v>总有息债 / 账面股东权益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Lit>
              <c:ptCount val="4"/>
              <c:pt idx="0">
                <c:v>8</c:v>
              </c:pt>
              <c:pt idx="1">
                <c:v>9</c:v>
              </c:pt>
              <c:pt idx="2">
                <c:v>10</c:v>
              </c:pt>
              <c:pt idx="3">
                <c:v>11</c:v>
              </c:pt>
              <c:extLst>
                <c:ext xmlns:c15="http://schemas.microsoft.com/office/drawing/2012/chart" uri="{02D57815-91ED-43cb-92C2-25804820EDAC}">
                  <c15:autoCat val="1"/>
                </c:ext>
              </c:extLst>
            </c:strLit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Visualizations!$C$113:$M$113</c15:sqref>
                  </c15:fullRef>
                </c:ext>
              </c:extLst>
              <c:f>Visualizations!$J$113:$M$113</c:f>
              <c:numCache>
                <c:formatCode>General</c:formatCode>
                <c:ptCount val="4"/>
                <c:pt idx="0" formatCode="0%">
                  <c:v>1.3370230781251284</c:v>
                </c:pt>
                <c:pt idx="1" formatCode="0%">
                  <c:v>1.0795113892766026</c:v>
                </c:pt>
                <c:pt idx="2" formatCode="0%">
                  <c:v>1.2103831624020565</c:v>
                </c:pt>
                <c:pt idx="3" formatCode="0%">
                  <c:v>1.309293938120297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D1C-4468-B9C4-32E991BC0C6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73913328"/>
        <c:axId val="773915848"/>
      </c:lineChart>
      <c:catAx>
        <c:axId val="773910808"/>
        <c:scaling>
          <c:orientation val="minMax"/>
        </c:scaling>
        <c:delete val="0"/>
        <c:axPos val="b"/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73918368"/>
        <c:crosses val="autoZero"/>
        <c:auto val="1"/>
        <c:lblAlgn val="ctr"/>
        <c:lblOffset val="100"/>
        <c:noMultiLvlLbl val="0"/>
      </c:catAx>
      <c:valAx>
        <c:axId val="77391836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73910808"/>
        <c:crosses val="autoZero"/>
        <c:crossBetween val="between"/>
      </c:valAx>
      <c:valAx>
        <c:axId val="773915848"/>
        <c:scaling>
          <c:orientation val="minMax"/>
        </c:scaling>
        <c:delete val="0"/>
        <c:axPos val="r"/>
        <c:numFmt formatCode="0.0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73913328"/>
        <c:crosses val="max"/>
        <c:crossBetween val="between"/>
      </c:valAx>
      <c:catAx>
        <c:axId val="773913328"/>
        <c:scaling>
          <c:orientation val="minMax"/>
        </c:scaling>
        <c:delete val="1"/>
        <c:axPos val="b"/>
        <c:majorTickMark val="none"/>
        <c:minorTickMark val="none"/>
        <c:tickLblPos val="nextTo"/>
        <c:crossAx val="773915848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654050</xdr:colOff>
      <xdr:row>26</xdr:row>
      <xdr:rowOff>142875</xdr:rowOff>
    </xdr:from>
    <xdr:to>
      <xdr:col>10</xdr:col>
      <xdr:colOff>704850</xdr:colOff>
      <xdr:row>43</xdr:row>
      <xdr:rowOff>133350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442325D4-A985-89A5-D302-336DB77B3B8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349250</xdr:colOff>
      <xdr:row>51</xdr:row>
      <xdr:rowOff>139700</xdr:rowOff>
    </xdr:from>
    <xdr:to>
      <xdr:col>5</xdr:col>
      <xdr:colOff>139700</xdr:colOff>
      <xdr:row>68</xdr:row>
      <xdr:rowOff>133350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0C7F4312-5AC1-4090-12C6-F5B5B7F78D8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792162</xdr:colOff>
      <xdr:row>51</xdr:row>
      <xdr:rowOff>133350</xdr:rowOff>
    </xdr:from>
    <xdr:to>
      <xdr:col>12</xdr:col>
      <xdr:colOff>7937</xdr:colOff>
      <xdr:row>68</xdr:row>
      <xdr:rowOff>123825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AA0EA7CA-467E-209D-FE4F-64DEFAF0698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145761</xdr:colOff>
      <xdr:row>83</xdr:row>
      <xdr:rowOff>31895</xdr:rowOff>
    </xdr:from>
    <xdr:to>
      <xdr:col>5</xdr:col>
      <xdr:colOff>294409</xdr:colOff>
      <xdr:row>100</xdr:row>
      <xdr:rowOff>76345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F0F1D2C-6373-E637-1799-75656A6FDCB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7</xdr:col>
      <xdr:colOff>216477</xdr:colOff>
      <xdr:row>82</xdr:row>
      <xdr:rowOff>72159</xdr:rowOff>
    </xdr:from>
    <xdr:to>
      <xdr:col>12</xdr:col>
      <xdr:colOff>386772</xdr:colOff>
      <xdr:row>99</xdr:row>
      <xdr:rowOff>116609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0DDD155C-FB95-407F-8018-13BAB3984EB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</xdr:col>
      <xdr:colOff>1443</xdr:colOff>
      <xdr:row>114</xdr:row>
      <xdr:rowOff>125701</xdr:rowOff>
    </xdr:from>
    <xdr:to>
      <xdr:col>5</xdr:col>
      <xdr:colOff>150091</xdr:colOff>
      <xdr:row>132</xdr:row>
      <xdr:rowOff>11401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BDC96E98-F57A-F23C-49A9-6507664D7FD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edgeinvestments.org/blog/peter-lynch-stock-categories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pages.stern.nyu.edu/~adamodar/New_Home_Page/datafile/wcdata.html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outlinePr summaryBelow="0" summaryRight="0"/>
    <pageSetUpPr fitToPage="1"/>
  </sheetPr>
  <dimension ref="A1:L969"/>
  <sheetViews>
    <sheetView showGridLines="0" zoomScaleNormal="100" workbookViewId="0">
      <selection activeCell="D6" sqref="D6"/>
    </sheetView>
  </sheetViews>
  <sheetFormatPr defaultColWidth="12.46484375" defaultRowHeight="15" customHeight="1"/>
  <cols>
    <col min="1" max="1" width="2.46484375" style="3" customWidth="1"/>
    <col min="2" max="2" width="28.265625" style="3" customWidth="1"/>
    <col min="3" max="10" width="14.796875" style="3" customWidth="1"/>
    <col min="11" max="11" width="14.53125" style="3" bestFit="1" customWidth="1"/>
    <col min="12" max="16384" width="12.46484375" style="3"/>
  </cols>
  <sheetData>
    <row r="1" spans="1:12" ht="15" customHeight="1">
      <c r="B1" s="6"/>
      <c r="C1" s="6"/>
      <c r="D1" s="6"/>
      <c r="E1" s="6"/>
      <c r="F1" s="6"/>
      <c r="G1" s="6"/>
      <c r="H1" s="6"/>
      <c r="I1" s="6"/>
      <c r="J1" s="6"/>
    </row>
    <row r="2" spans="1:12" ht="15.75" customHeight="1">
      <c r="A2" s="10"/>
      <c r="B2" s="11" t="s">
        <v>0</v>
      </c>
      <c r="C2" s="44" t="str">
        <f>C3&amp;" : "&amp;C4</f>
        <v>0710.HK : BOE VARITRONIX</v>
      </c>
      <c r="D2" s="6"/>
      <c r="E2" s="12"/>
      <c r="F2" s="12"/>
      <c r="G2" s="12"/>
      <c r="H2" s="12"/>
      <c r="I2" s="6"/>
      <c r="J2" s="6"/>
    </row>
    <row r="3" spans="1:12" ht="15.75" customHeight="1">
      <c r="B3" s="5" t="s">
        <v>1</v>
      </c>
      <c r="C3" s="348" t="s">
        <v>380</v>
      </c>
      <c r="D3" s="349"/>
      <c r="E3" s="6"/>
      <c r="G3" s="7" t="s">
        <v>2</v>
      </c>
      <c r="I3" s="357" t="s">
        <v>3</v>
      </c>
      <c r="J3" s="357"/>
    </row>
    <row r="4" spans="1:12" ht="15.75" customHeight="1">
      <c r="B4" s="5" t="s">
        <v>4</v>
      </c>
      <c r="C4" s="350" t="s">
        <v>381</v>
      </c>
      <c r="D4" s="319"/>
      <c r="E4" s="6"/>
      <c r="G4" s="5" t="s">
        <v>5</v>
      </c>
      <c r="I4" s="221">
        <v>7.83</v>
      </c>
      <c r="J4" s="222" t="s">
        <v>6</v>
      </c>
      <c r="K4" s="92"/>
    </row>
    <row r="5" spans="1:12" ht="15.75" customHeight="1">
      <c r="B5" s="5" t="s">
        <v>7</v>
      </c>
      <c r="C5" s="351">
        <v>45154</v>
      </c>
      <c r="D5" s="319"/>
      <c r="E5" s="79" t="str">
        <f ca="1">IF(C5+30&gt;=TODAY(),"Patience Premium","")</f>
        <v>Patience Premium</v>
      </c>
      <c r="G5" s="5" t="s">
        <v>8</v>
      </c>
      <c r="I5" s="318">
        <v>791574976</v>
      </c>
      <c r="J5" s="318"/>
      <c r="K5" s="91"/>
      <c r="L5" s="52"/>
    </row>
    <row r="6" spans="1:12" ht="15.75" customHeight="1">
      <c r="B6" s="12" t="s">
        <v>212</v>
      </c>
      <c r="C6" s="219">
        <v>8</v>
      </c>
      <c r="D6" s="220">
        <f>EOMONTH(EDATE(Asset_Model!D9,C6),0)</f>
        <v>45351</v>
      </c>
      <c r="E6" s="128">
        <f>IF(Asset_Model!E9="FY",Asset_Model!D9,Data!C3)</f>
        <v>44926</v>
      </c>
      <c r="G6" s="85" t="s">
        <v>9</v>
      </c>
      <c r="H6" s="84"/>
      <c r="I6" s="358">
        <f>I4*I5/1000000</f>
        <v>6198.0320620800003</v>
      </c>
      <c r="J6" s="358"/>
      <c r="K6" s="91"/>
    </row>
    <row r="7" spans="1:12" ht="15.75" customHeight="1">
      <c r="B7" s="86" t="s">
        <v>10</v>
      </c>
      <c r="C7" s="218">
        <f>(Data!C42*Exchange_Rate)/I4</f>
        <v>2.936415916811546E-2</v>
      </c>
      <c r="D7" s="218">
        <f>(Data!C43*Exchange_Rate)/I4</f>
        <v>0</v>
      </c>
      <c r="E7" s="93"/>
      <c r="F7" s="6"/>
    </row>
    <row r="8" spans="1:12" ht="15.75" customHeight="1">
      <c r="C8" s="60"/>
      <c r="E8" s="6"/>
      <c r="G8" s="17" t="s">
        <v>11</v>
      </c>
      <c r="H8" s="83"/>
      <c r="I8" s="6"/>
      <c r="J8" s="6"/>
    </row>
    <row r="9" spans="1:12" ht="15.75" customHeight="1">
      <c r="B9" s="17" t="s">
        <v>12</v>
      </c>
      <c r="C9" s="123"/>
      <c r="D9" s="121"/>
      <c r="E9" s="5"/>
      <c r="G9" s="5" t="s">
        <v>13</v>
      </c>
      <c r="I9" s="225">
        <f>IF(Data!F3&lt;=0,"NNI",I4/((Data!F3*I12)/(I5/Data!C4)))</f>
        <v>10.641293537276098</v>
      </c>
      <c r="J9" s="166">
        <f>IF(I9="NNI","NNI",1/I9)</f>
        <v>9.3973537756197892E-2</v>
      </c>
    </row>
    <row r="10" spans="1:12" ht="15.75" customHeight="1">
      <c r="B10" s="3" t="s">
        <v>226</v>
      </c>
      <c r="C10" s="122" t="s">
        <v>324</v>
      </c>
      <c r="D10" s="122">
        <v>2.8999999999999998E-2</v>
      </c>
      <c r="E10" s="5"/>
      <c r="G10" s="85" t="s">
        <v>332</v>
      </c>
      <c r="H10" s="84"/>
      <c r="I10" s="165">
        <f>I4/(Data!C29*I12*Data!C4/Common_Shares)</f>
        <v>1.5059217459466303</v>
      </c>
      <c r="J10" s="223">
        <f>I4/(Data!C7*Data!C4/Common_Shares*Exchange_Rate)</f>
        <v>0.57804732204782139</v>
      </c>
    </row>
    <row r="11" spans="1:12" ht="15.75" customHeight="1" thickBot="1">
      <c r="B11" s="124" t="s">
        <v>227</v>
      </c>
      <c r="C11" s="328">
        <f ca="1">C12-D10</f>
        <v>6.7000000000000004E-2</v>
      </c>
      <c r="D11" s="329"/>
      <c r="E11" s="13"/>
      <c r="G11" s="5" t="s">
        <v>14</v>
      </c>
      <c r="H11" s="6"/>
      <c r="I11" s="357" t="s">
        <v>6</v>
      </c>
      <c r="J11" s="357"/>
    </row>
    <row r="12" spans="1:12" ht="15.75" customHeight="1" thickTop="1">
      <c r="B12" s="125" t="s">
        <v>124</v>
      </c>
      <c r="C12" s="364">
        <f ca="1">IF(C10="CN",8%,6%)*IF($C$5+30&gt;=TODAY(),1.2,1)</f>
        <v>9.6000000000000002E-2</v>
      </c>
      <c r="D12" s="365"/>
      <c r="G12" s="85" t="s">
        <v>15</v>
      </c>
      <c r="H12" s="84"/>
      <c r="I12" s="226">
        <v>1</v>
      </c>
      <c r="J12" s="227" t="str">
        <f>IF(I11=Dashboard!J4,J4,I11&amp;"/"&amp;Dashboard!J4)</f>
        <v>HKD</v>
      </c>
    </row>
    <row r="13" spans="1:12" ht="15.75" customHeight="1"/>
    <row r="14" spans="1:12" ht="15.75" customHeight="1">
      <c r="A14" s="10"/>
      <c r="B14" s="16" t="s">
        <v>16</v>
      </c>
      <c r="C14" s="134" t="s">
        <v>279</v>
      </c>
      <c r="D14" s="84"/>
      <c r="E14" s="167">
        <f ca="1">Val_Models!C44</f>
        <v>8.2637388301155497</v>
      </c>
      <c r="F14" s="98"/>
      <c r="G14" s="99"/>
      <c r="H14" s="134" t="s">
        <v>323</v>
      </c>
      <c r="I14" s="240">
        <v>0.25</v>
      </c>
      <c r="J14" s="84"/>
    </row>
    <row r="15" spans="1:12" ht="15.75" customHeight="1">
      <c r="A15" s="6"/>
      <c r="B15" s="107" t="str">
        <f>"(in "&amp;J4&amp;")"</f>
        <v>(in HKD)</v>
      </c>
      <c r="C15" s="231" t="s">
        <v>322</v>
      </c>
      <c r="D15" s="55" t="s">
        <v>17</v>
      </c>
      <c r="E15" s="6"/>
      <c r="F15" s="38" t="s">
        <v>20</v>
      </c>
      <c r="G15" s="6"/>
      <c r="H15" s="136" t="s">
        <v>19</v>
      </c>
      <c r="I15" s="55" t="s">
        <v>310</v>
      </c>
      <c r="J15" s="55" t="s">
        <v>18</v>
      </c>
    </row>
    <row r="16" spans="1:12" ht="15.75" customHeight="1">
      <c r="B16" s="82">
        <f>I4</f>
        <v>7.83</v>
      </c>
      <c r="C16" s="344">
        <v>0.2</v>
      </c>
      <c r="D16" s="238">
        <f ca="1">I37/B16-(1+C16)</f>
        <v>0.17316404920565032</v>
      </c>
      <c r="E16" s="338" t="s">
        <v>21</v>
      </c>
      <c r="F16" s="359">
        <f>(Val_Models!G16)*Exchange_Rate</f>
        <v>1.9014280008323869</v>
      </c>
      <c r="G16" s="338" t="s">
        <v>22</v>
      </c>
      <c r="H16" s="239">
        <f>B16-$F$16</f>
        <v>5.9285719991676133</v>
      </c>
      <c r="I16" s="333">
        <v>2.3E-2</v>
      </c>
      <c r="J16" s="166">
        <f>I16/B16</f>
        <v>2.9374201787994892E-3</v>
      </c>
    </row>
    <row r="17" spans="1:10" ht="15.75" customHeight="1">
      <c r="B17" s="116">
        <f ca="1">MIN((I37+I38)/2,I37/(1+C16), IF(J20=0,E14,I37/(1+C16)))</f>
        <v>8.6814327846863399</v>
      </c>
      <c r="C17" s="345"/>
      <c r="D17" s="149">
        <f ca="1">I37/B17-(1+C16)</f>
        <v>3.849078509783177E-2</v>
      </c>
      <c r="E17" s="339"/>
      <c r="F17" s="360"/>
      <c r="G17" s="339"/>
      <c r="H17" s="236">
        <f ca="1">B17-$F$16</f>
        <v>6.7800047838539532</v>
      </c>
      <c r="I17" s="334"/>
      <c r="J17" s="149">
        <f ca="1">I16/B17</f>
        <v>2.6493322669699148E-3</v>
      </c>
    </row>
    <row r="18" spans="1:10" ht="15.75" customHeight="1">
      <c r="B18" s="129">
        <f>C37</f>
        <v>7.4</v>
      </c>
      <c r="C18" s="346"/>
      <c r="D18" s="237">
        <f ca="1">I37/B18-(1+C16)</f>
        <v>0.25295601422705971</v>
      </c>
      <c r="E18" s="340"/>
      <c r="F18" s="361"/>
      <c r="G18" s="340"/>
      <c r="H18" s="98">
        <f>B18-$F$16</f>
        <v>5.4985719991676136</v>
      </c>
      <c r="I18" s="335"/>
      <c r="J18" s="158">
        <f>I16/B18</f>
        <v>3.108108108108108E-3</v>
      </c>
    </row>
    <row r="19" spans="1:10" ht="15.75" customHeight="1">
      <c r="E19" s="6"/>
      <c r="H19" s="6"/>
    </row>
    <row r="20" spans="1:10" ht="15.75" customHeight="1">
      <c r="A20" s="4"/>
      <c r="B20" s="16" t="s">
        <v>23</v>
      </c>
      <c r="C20" s="5" t="s">
        <v>210</v>
      </c>
      <c r="D20" s="189" t="s">
        <v>338</v>
      </c>
      <c r="E20" s="109" t="s">
        <v>219</v>
      </c>
      <c r="F20" s="6"/>
      <c r="G20" s="6"/>
      <c r="H20" s="6"/>
      <c r="I20" s="6"/>
      <c r="J20" s="131">
        <f>IF(OR(D20="Cyclicals",D20="Cyclicals",D20="Cyclicals"),1,0)</f>
        <v>1</v>
      </c>
    </row>
    <row r="21" spans="1:10" ht="15.75" customHeight="1">
      <c r="A21" s="6"/>
      <c r="B21" s="19" t="s">
        <v>24</v>
      </c>
      <c r="C21" s="354" t="s">
        <v>384</v>
      </c>
      <c r="D21" s="355"/>
      <c r="E21" s="356"/>
      <c r="F21" s="356"/>
      <c r="G21" s="356"/>
      <c r="H21" s="356"/>
      <c r="I21" s="356"/>
      <c r="J21" s="356"/>
    </row>
    <row r="22" spans="1:10" ht="52.5" customHeight="1">
      <c r="A22" s="6"/>
      <c r="B22" s="19" t="s">
        <v>25</v>
      </c>
      <c r="C22" s="363" t="s">
        <v>385</v>
      </c>
      <c r="D22" s="349"/>
      <c r="E22" s="349"/>
      <c r="F22" s="349"/>
      <c r="G22" s="363" t="s">
        <v>386</v>
      </c>
      <c r="H22" s="363"/>
      <c r="I22" s="349"/>
      <c r="J22" s="349"/>
    </row>
    <row r="23" spans="1:10" ht="52.5" customHeight="1">
      <c r="A23" s="6"/>
      <c r="B23" s="138" t="s">
        <v>26</v>
      </c>
      <c r="C23" s="336" t="s">
        <v>388</v>
      </c>
      <c r="D23" s="337"/>
      <c r="E23" s="337"/>
      <c r="F23" s="337"/>
      <c r="G23" s="336" t="s">
        <v>387</v>
      </c>
      <c r="H23" s="336"/>
      <c r="I23" s="337"/>
      <c r="J23" s="337"/>
    </row>
    <row r="24" spans="1:10" ht="52.5" customHeight="1">
      <c r="A24" s="6"/>
      <c r="B24" s="19" t="s">
        <v>292</v>
      </c>
      <c r="C24" s="366" t="s">
        <v>409</v>
      </c>
      <c r="D24" s="366"/>
      <c r="E24" s="366"/>
      <c r="F24" s="366"/>
      <c r="G24" s="366"/>
      <c r="H24" s="366"/>
      <c r="I24" s="366"/>
      <c r="J24" s="366"/>
    </row>
    <row r="25" spans="1:10" ht="52.5" customHeight="1">
      <c r="A25" s="6"/>
      <c r="B25" s="138" t="s">
        <v>291</v>
      </c>
      <c r="C25" s="367" t="s">
        <v>410</v>
      </c>
      <c r="D25" s="367"/>
      <c r="E25" s="367"/>
      <c r="F25" s="367"/>
      <c r="G25" s="367"/>
      <c r="H25" s="367"/>
      <c r="I25" s="367"/>
      <c r="J25" s="367"/>
    </row>
    <row r="26" spans="1:10" ht="15.75" customHeight="1">
      <c r="B26" s="6"/>
      <c r="C26" s="6"/>
      <c r="D26" s="6"/>
      <c r="E26" s="6"/>
      <c r="F26" s="9"/>
      <c r="G26" s="6"/>
      <c r="H26" s="6"/>
      <c r="I26" s="6"/>
      <c r="J26" s="6"/>
    </row>
    <row r="27" spans="1:10" ht="15.75" customHeight="1">
      <c r="A27" s="4"/>
      <c r="B27" s="16" t="s">
        <v>27</v>
      </c>
      <c r="C27" s="18" t="s">
        <v>28</v>
      </c>
      <c r="D27" s="228">
        <v>660000</v>
      </c>
      <c r="E27" s="6"/>
      <c r="F27" s="5"/>
      <c r="G27" s="6"/>
      <c r="H27" s="229" t="s">
        <v>286</v>
      </c>
      <c r="I27" s="22"/>
      <c r="J27" s="54">
        <f>C16</f>
        <v>0.2</v>
      </c>
    </row>
    <row r="28" spans="1:10" ht="15.75" customHeight="1">
      <c r="B28" s="18" t="s">
        <v>29</v>
      </c>
      <c r="C28" s="352"/>
      <c r="D28" s="353"/>
      <c r="E28" s="343" t="str">
        <f>IF(C28="","","Action_Planning")</f>
        <v/>
      </c>
      <c r="F28" s="343"/>
      <c r="G28" s="343"/>
      <c r="H28" s="343"/>
      <c r="I28" s="362" t="s">
        <v>30</v>
      </c>
      <c r="J28" s="362"/>
    </row>
    <row r="29" spans="1:10" ht="15.75" customHeight="1">
      <c r="B29" s="18" t="s">
        <v>31</v>
      </c>
      <c r="C29" s="332">
        <f>C33/D27</f>
        <v>0.17939393939393938</v>
      </c>
      <c r="D29" s="326"/>
      <c r="E29" s="331">
        <f>E33/D27</f>
        <v>0</v>
      </c>
      <c r="F29" s="326"/>
      <c r="G29" s="342">
        <f>G33/D27</f>
        <v>0</v>
      </c>
      <c r="H29" s="342"/>
      <c r="I29" s="341">
        <f>C29+E29+G29</f>
        <v>0.17939393939393938</v>
      </c>
      <c r="J29" s="341"/>
    </row>
    <row r="30" spans="1:10" ht="15.75" customHeight="1">
      <c r="B30" s="18" t="s">
        <v>32</v>
      </c>
      <c r="C30" s="318">
        <v>16000</v>
      </c>
      <c r="D30" s="319"/>
      <c r="E30" s="318"/>
      <c r="F30" s="319"/>
      <c r="G30" s="318"/>
      <c r="H30" s="318"/>
      <c r="I30" s="347">
        <f>C30+E30+G30</f>
        <v>16000</v>
      </c>
      <c r="J30" s="347"/>
    </row>
    <row r="31" spans="1:10" ht="15.75" customHeight="1">
      <c r="B31" s="18" t="s">
        <v>33</v>
      </c>
      <c r="C31" s="320">
        <v>7.4</v>
      </c>
      <c r="D31" s="319"/>
      <c r="E31" s="320"/>
      <c r="F31" s="319"/>
      <c r="G31" s="320"/>
      <c r="H31" s="320"/>
      <c r="I31" s="330"/>
      <c r="J31" s="330"/>
    </row>
    <row r="32" spans="1:10" ht="15.75" customHeight="1">
      <c r="B32" s="18" t="s">
        <v>34</v>
      </c>
      <c r="C32" s="327">
        <f>C31*$I$5/1000000</f>
        <v>5857.6548224000007</v>
      </c>
      <c r="D32" s="326"/>
      <c r="E32" s="327">
        <f>E31*$I$5/1000000</f>
        <v>0</v>
      </c>
      <c r="F32" s="326"/>
      <c r="G32" s="327">
        <f>G31*$I$5/1000000</f>
        <v>0</v>
      </c>
      <c r="H32" s="327"/>
      <c r="I32" s="330"/>
      <c r="J32" s="330"/>
    </row>
    <row r="33" spans="2:11" ht="15.75" customHeight="1">
      <c r="B33" s="2" t="s">
        <v>35</v>
      </c>
      <c r="C33" s="323">
        <f>C30*C31</f>
        <v>118400</v>
      </c>
      <c r="D33" s="324"/>
      <c r="E33" s="323">
        <f>E30*E31</f>
        <v>0</v>
      </c>
      <c r="F33" s="324"/>
      <c r="G33" s="323">
        <f>G30*G31</f>
        <v>0</v>
      </c>
      <c r="H33" s="323"/>
      <c r="I33" s="323">
        <f>C33+E33+G33</f>
        <v>118400</v>
      </c>
      <c r="J33" s="323"/>
    </row>
    <row r="34" spans="2:11" ht="15.75" customHeight="1">
      <c r="B34" s="1" t="s">
        <v>36</v>
      </c>
      <c r="C34" s="330"/>
      <c r="D34" s="373"/>
      <c r="E34" s="325">
        <f>IF(C33=0,"-",(C33+E33)/(C30+E30))</f>
        <v>7.4</v>
      </c>
      <c r="F34" s="326"/>
      <c r="G34" s="78"/>
      <c r="H34" s="78"/>
      <c r="I34" s="325">
        <f>IF(I33=0,"",I33/I30)</f>
        <v>7.4</v>
      </c>
      <c r="J34" s="325"/>
    </row>
    <row r="35" spans="2:11" ht="15.75" customHeight="1">
      <c r="B35" s="1" t="s">
        <v>37</v>
      </c>
      <c r="C35" s="374"/>
      <c r="D35" s="375"/>
      <c r="E35" s="321">
        <f>IF(E34="-","-",E34*$I$5/1000000)</f>
        <v>5857.6548224000007</v>
      </c>
      <c r="F35" s="322"/>
      <c r="G35" s="230"/>
      <c r="H35" s="230"/>
      <c r="I35" s="321">
        <f>IF(I34="","",I34*$I$5/1000000)</f>
        <v>5857.6548224000007</v>
      </c>
      <c r="J35" s="321"/>
    </row>
    <row r="36" spans="2:11" ht="15.75" customHeight="1"/>
    <row r="37" spans="2:11" ht="15.75" customHeight="1">
      <c r="B37" s="87" t="s">
        <v>256</v>
      </c>
      <c r="C37" s="371">
        <f>C31</f>
        <v>7.4</v>
      </c>
      <c r="D37" s="372"/>
      <c r="E37" s="79" t="str">
        <f ca="1">IF(C37&gt;B17,"Caution! &gt; Breakeven price!","")</f>
        <v/>
      </c>
      <c r="F37" s="6"/>
      <c r="G37" s="368" t="s">
        <v>316</v>
      </c>
      <c r="H37" s="368"/>
      <c r="I37" s="369">
        <f ca="1">Val_Models!C46</f>
        <v>10.751874505280242</v>
      </c>
      <c r="J37" s="370"/>
    </row>
    <row r="38" spans="2:11" ht="15.75" customHeight="1">
      <c r="B38" s="87" t="s">
        <v>281</v>
      </c>
      <c r="C38" s="371">
        <f>E34</f>
        <v>7.4</v>
      </c>
      <c r="D38" s="372"/>
      <c r="E38" s="6"/>
      <c r="F38" s="6"/>
      <c r="G38" s="368" t="s">
        <v>280</v>
      </c>
      <c r="H38" s="368"/>
      <c r="I38" s="369">
        <f ca="1">Val_Models!C47</f>
        <v>6.6109910640924401</v>
      </c>
      <c r="J38" s="370"/>
    </row>
    <row r="39" spans="2:11" ht="15.75" customHeight="1">
      <c r="C39" s="6"/>
      <c r="D39" s="6"/>
      <c r="E39" s="6"/>
      <c r="F39" s="6"/>
      <c r="G39" s="6"/>
      <c r="H39" s="6"/>
      <c r="I39" s="6"/>
      <c r="J39" s="6"/>
    </row>
    <row r="40" spans="2:11" ht="15.75" customHeight="1">
      <c r="B40" s="17" t="s">
        <v>266</v>
      </c>
      <c r="C40" s="6"/>
      <c r="D40" s="6"/>
      <c r="E40" s="6"/>
      <c r="F40" s="6"/>
      <c r="G40" s="127" t="s">
        <v>117</v>
      </c>
      <c r="H40" s="84"/>
      <c r="I40" s="84"/>
      <c r="J40" s="84"/>
      <c r="K40" s="130"/>
    </row>
    <row r="41" spans="2:11" ht="15.75" customHeight="1">
      <c r="B41" s="3" t="s">
        <v>268</v>
      </c>
      <c r="C41" s="6"/>
      <c r="D41" s="6"/>
      <c r="E41" s="6"/>
      <c r="F41" s="54">
        <f>Qualitative_Analysis!E8</f>
        <v>0.53</v>
      </c>
      <c r="G41" s="77"/>
      <c r="H41" s="77"/>
      <c r="I41" s="77"/>
      <c r="J41" s="77"/>
    </row>
    <row r="42" spans="2:11" ht="15.75" customHeight="1">
      <c r="B42" s="3" t="s">
        <v>267</v>
      </c>
      <c r="C42" s="6"/>
      <c r="D42" s="6"/>
      <c r="E42" s="6"/>
      <c r="F42" s="54">
        <f>80%-(5%*IF(LEFT(D20,2)="St",3,IF(LEFT(D20,2)="Sl",2,IF(LEFT(D20,2)="Cy",6,IF(LEFT(D20,2)="Tu",7,IF(LEFT(D20,2)="Fa",8,0))))))</f>
        <v>0.5</v>
      </c>
      <c r="G42" s="77"/>
      <c r="H42" s="77"/>
      <c r="I42" s="77"/>
      <c r="J42" s="77"/>
    </row>
    <row r="43" spans="2:11" ht="15.75" customHeight="1">
      <c r="B43" s="3" t="s">
        <v>273</v>
      </c>
      <c r="C43" s="6"/>
      <c r="D43" s="6"/>
      <c r="E43" s="6"/>
      <c r="F43" s="171">
        <f>Qualitative_Analysis!E64</f>
        <v>0.47107142857142859</v>
      </c>
      <c r="G43" s="77"/>
      <c r="H43" s="77"/>
      <c r="I43" s="77"/>
      <c r="J43" s="77"/>
    </row>
    <row r="44" spans="2:11" ht="15.75" customHeight="1">
      <c r="B44" s="3" t="s">
        <v>337</v>
      </c>
      <c r="C44" s="6"/>
      <c r="D44" s="6"/>
      <c r="E44" s="6"/>
      <c r="F44" s="171">
        <f>AVERAGE(Asset_Model!J28/4,1-Asset_Model!I56)</f>
        <v>0.90024604149680243</v>
      </c>
      <c r="G44" s="77"/>
      <c r="H44" s="77"/>
      <c r="I44" s="77"/>
      <c r="J44" s="77"/>
    </row>
    <row r="45" spans="2:11" ht="15.75" customHeight="1">
      <c r="C45" s="6"/>
      <c r="D45" s="6"/>
      <c r="E45" s="6"/>
      <c r="F45" s="6"/>
      <c r="G45" s="77"/>
      <c r="H45" s="77"/>
      <c r="I45" s="77"/>
      <c r="J45" s="77"/>
    </row>
    <row r="46" spans="2:11" ht="15.75" customHeight="1">
      <c r="C46" s="6"/>
      <c r="D46" s="6"/>
      <c r="E46" s="38" t="s">
        <v>282</v>
      </c>
      <c r="F46" s="38" t="s">
        <v>283</v>
      </c>
      <c r="G46" s="6"/>
      <c r="H46" s="6"/>
      <c r="I46" s="6"/>
      <c r="J46" s="6"/>
    </row>
    <row r="47" spans="2:11" ht="15.75" customHeight="1">
      <c r="B47" s="3" t="s">
        <v>269</v>
      </c>
      <c r="C47" s="6"/>
      <c r="D47" s="6"/>
      <c r="E47" s="171">
        <f ca="1">I37/C31-1</f>
        <v>0.45295601422705967</v>
      </c>
      <c r="F47" s="171">
        <f ca="1">I37/C38-1</f>
        <v>0.45295601422705967</v>
      </c>
      <c r="G47" s="6"/>
      <c r="H47" s="6"/>
      <c r="I47" s="6"/>
      <c r="J47" s="233"/>
    </row>
    <row r="48" spans="2:11" ht="15.75" customHeight="1">
      <c r="B48" s="3" t="s">
        <v>270</v>
      </c>
      <c r="C48" s="6"/>
      <c r="D48" s="6"/>
      <c r="E48" s="171">
        <f ca="1">Val_Models!C47/C31-1</f>
        <v>-0.1066228291766973</v>
      </c>
      <c r="F48" s="171">
        <f ca="1">Val_Models!C47/C38-1</f>
        <v>-0.1066228291766973</v>
      </c>
      <c r="G48" s="6"/>
      <c r="H48" s="6"/>
      <c r="I48" s="6"/>
      <c r="J48" s="6"/>
    </row>
    <row r="49" spans="2:10" ht="15.75" customHeight="1">
      <c r="C49" s="6"/>
      <c r="D49" s="6"/>
      <c r="E49" s="6"/>
      <c r="F49" s="6"/>
      <c r="G49" s="6"/>
      <c r="H49" s="6"/>
      <c r="I49" s="6"/>
      <c r="J49" s="6"/>
    </row>
    <row r="50" spans="2:10" ht="15.75" customHeight="1">
      <c r="B50" s="3" t="s">
        <v>272</v>
      </c>
      <c r="C50" s="6"/>
      <c r="D50" s="6"/>
      <c r="E50" s="54">
        <f ca="1">IF(E47&lt;=0,0,AVERAGE(F41:F44,0.5*(1+E47+E48-C16)))</f>
        <v>0.59489681251868254</v>
      </c>
      <c r="F50" s="171">
        <f ca="1">IF(F47&lt;=0,0,AVERAGE(F41:F44,0.5*(1+F47+F48-C16)))</f>
        <v>0.59489681251868254</v>
      </c>
      <c r="G50" s="77"/>
      <c r="H50" s="6"/>
      <c r="I50" s="6"/>
      <c r="J50" s="6"/>
    </row>
    <row r="51" spans="2:10" ht="15.75" customHeight="1">
      <c r="B51" s="3" t="s">
        <v>271</v>
      </c>
      <c r="C51" s="6"/>
      <c r="D51" s="66"/>
      <c r="E51" s="234">
        <f ca="1">IF(E48&gt;=0,100,E47/ABS(E48))</f>
        <v>4.2482085471246753</v>
      </c>
      <c r="F51" s="234">
        <f ca="1">IF(F48&gt;=0,100,F47/ABS(F48))</f>
        <v>4.2482085471246753</v>
      </c>
      <c r="G51" s="77"/>
      <c r="H51" s="6"/>
      <c r="I51" s="6"/>
      <c r="J51" s="6"/>
    </row>
    <row r="52" spans="2:10" ht="15.75" customHeight="1">
      <c r="B52" s="3" t="s">
        <v>284</v>
      </c>
      <c r="C52" s="6"/>
      <c r="D52" s="6"/>
      <c r="E52" s="232">
        <f ca="1">MAX(C16*2.5/E47,1)+IF(E47&lt;C16,100,0)+IF(J20=1,2/(1+E47+E48-C16),0)</f>
        <v>2.8485533933560045</v>
      </c>
      <c r="F52" s="232">
        <f ca="1">MAX(C16*2.5/F47,1)+IF(F47&lt;C16,100,0)+IF(D18&lt;0,100,0)+IF(J20=1,2/(1+F47+F48-C16),0)</f>
        <v>2.8485533933560045</v>
      </c>
      <c r="G52" s="170"/>
      <c r="H52" s="235"/>
      <c r="I52" s="235"/>
      <c r="J52" s="6"/>
    </row>
    <row r="53" spans="2:10" ht="15.75" customHeight="1">
      <c r="B53" s="3" t="s">
        <v>285</v>
      </c>
      <c r="C53" s="6"/>
      <c r="D53" s="6"/>
      <c r="E53" s="217">
        <f ca="1">MIN(MAX(E50-ABS((1-E50)/E51),0)/E52,H53)</f>
        <v>0.17536558073138203</v>
      </c>
      <c r="F53" s="217">
        <f ca="1">MIN(MAX(F50-ABS((1-F50)/F51),0)/F52,H53)</f>
        <v>0.17536558073138203</v>
      </c>
      <c r="G53" s="170" t="s">
        <v>274</v>
      </c>
      <c r="H53" s="171">
        <v>0.4</v>
      </c>
      <c r="I53" s="6"/>
      <c r="J53" s="6"/>
    </row>
    <row r="54" spans="2:10" ht="15.75" customHeight="1"/>
    <row r="55" spans="2:10" ht="15.75" customHeight="1">
      <c r="B55" s="17" t="s">
        <v>276</v>
      </c>
    </row>
    <row r="56" spans="2:10" ht="15.75" customHeight="1">
      <c r="B56" s="137" t="s">
        <v>277</v>
      </c>
    </row>
    <row r="57" spans="2:10" ht="15.75" customHeight="1">
      <c r="B57" s="3" t="s">
        <v>288</v>
      </c>
    </row>
    <row r="58" spans="2:10" ht="15.75" customHeight="1">
      <c r="B58" s="3" t="s">
        <v>287</v>
      </c>
    </row>
    <row r="59" spans="2:10" ht="15.75" customHeight="1"/>
    <row r="60" spans="2:10" ht="15.75" customHeight="1">
      <c r="B60" s="137" t="s">
        <v>278</v>
      </c>
    </row>
    <row r="61" spans="2:10" ht="15.75" customHeight="1">
      <c r="B61" s="3" t="s">
        <v>289</v>
      </c>
    </row>
    <row r="62" spans="2:10" ht="15.75" customHeight="1">
      <c r="B62" s="3" t="s">
        <v>290</v>
      </c>
    </row>
    <row r="63" spans="2:10" ht="15.75" customHeight="1"/>
    <row r="64" spans="2:10" ht="15.75" customHeight="1">
      <c r="B64" s="137" t="s">
        <v>411</v>
      </c>
    </row>
    <row r="65" spans="2:2" ht="15.75" customHeight="1">
      <c r="B65" s="3" t="s">
        <v>414</v>
      </c>
    </row>
    <row r="66" spans="2:2" ht="15.75" customHeight="1">
      <c r="B66" s="3" t="s">
        <v>413</v>
      </c>
    </row>
    <row r="67" spans="2:2" ht="15.75" customHeight="1"/>
    <row r="68" spans="2:2" ht="15.75" customHeight="1"/>
    <row r="69" spans="2:2" ht="15.75" customHeight="1"/>
    <row r="70" spans="2:2" ht="15.75" customHeight="1"/>
    <row r="71" spans="2:2" ht="15.75" customHeight="1"/>
    <row r="72" spans="2:2" ht="15.75" customHeight="1"/>
    <row r="73" spans="2:2" ht="15.75" customHeight="1"/>
    <row r="74" spans="2:2" ht="15.75" customHeight="1"/>
    <row r="75" spans="2:2" ht="15.75" customHeight="1"/>
    <row r="76" spans="2:2" ht="15.75" customHeight="1"/>
    <row r="77" spans="2:2" ht="15.75" customHeight="1"/>
    <row r="78" spans="2:2" ht="15.75" customHeight="1"/>
    <row r="79" spans="2:2" ht="15.75" customHeight="1"/>
    <row r="80" spans="2:2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</sheetData>
  <mergeCells count="56">
    <mergeCell ref="C24:J24"/>
    <mergeCell ref="C25:J25"/>
    <mergeCell ref="G37:H37"/>
    <mergeCell ref="I37:J37"/>
    <mergeCell ref="C38:D38"/>
    <mergeCell ref="C37:D37"/>
    <mergeCell ref="I38:J38"/>
    <mergeCell ref="G38:H38"/>
    <mergeCell ref="G32:H32"/>
    <mergeCell ref="G33:H33"/>
    <mergeCell ref="I32:J32"/>
    <mergeCell ref="I35:J35"/>
    <mergeCell ref="I33:J33"/>
    <mergeCell ref="I34:J34"/>
    <mergeCell ref="C34:D34"/>
    <mergeCell ref="C35:D35"/>
    <mergeCell ref="C3:D3"/>
    <mergeCell ref="C4:D4"/>
    <mergeCell ref="C5:D5"/>
    <mergeCell ref="C28:D28"/>
    <mergeCell ref="C21:J21"/>
    <mergeCell ref="C23:F23"/>
    <mergeCell ref="I3:J3"/>
    <mergeCell ref="I5:J5"/>
    <mergeCell ref="I6:J6"/>
    <mergeCell ref="F16:F18"/>
    <mergeCell ref="G16:G18"/>
    <mergeCell ref="I28:J28"/>
    <mergeCell ref="G22:J22"/>
    <mergeCell ref="C12:D12"/>
    <mergeCell ref="I11:J11"/>
    <mergeCell ref="C22:F22"/>
    <mergeCell ref="C11:D11"/>
    <mergeCell ref="G30:H30"/>
    <mergeCell ref="I31:J31"/>
    <mergeCell ref="G31:H31"/>
    <mergeCell ref="E29:F29"/>
    <mergeCell ref="C29:D29"/>
    <mergeCell ref="I16:I18"/>
    <mergeCell ref="G23:J23"/>
    <mergeCell ref="E16:E18"/>
    <mergeCell ref="I29:J29"/>
    <mergeCell ref="G29:H29"/>
    <mergeCell ref="E28:H28"/>
    <mergeCell ref="C16:C18"/>
    <mergeCell ref="I30:J30"/>
    <mergeCell ref="C30:D30"/>
    <mergeCell ref="E31:F31"/>
    <mergeCell ref="E30:F30"/>
    <mergeCell ref="C31:D31"/>
    <mergeCell ref="E35:F35"/>
    <mergeCell ref="C33:D33"/>
    <mergeCell ref="E33:F33"/>
    <mergeCell ref="E34:F34"/>
    <mergeCell ref="C32:D32"/>
    <mergeCell ref="E32:F32"/>
  </mergeCells>
  <phoneticPr fontId="31" type="noConversion"/>
  <conditionalFormatting sqref="B16">
    <cfRule type="cellIs" dxfId="23" priority="12" operator="lessThan">
      <formula>$B$18</formula>
    </cfRule>
  </conditionalFormatting>
  <conditionalFormatting sqref="B18">
    <cfRule type="cellIs" dxfId="22" priority="1" operator="greaterThan">
      <formula>$B$17</formula>
    </cfRule>
  </conditionalFormatting>
  <conditionalFormatting sqref="C37:D38">
    <cfRule type="containsBlanks" priority="5">
      <formula>LEN(TRIM(C37))=0</formula>
    </cfRule>
  </conditionalFormatting>
  <conditionalFormatting sqref="C28:E28 I28 C30:G31 I30:I31">
    <cfRule type="containsBlanks" priority="29">
      <formula>LEN(TRIM(C28))=0</formula>
    </cfRule>
  </conditionalFormatting>
  <conditionalFormatting sqref="D16 D18">
    <cfRule type="cellIs" dxfId="21" priority="25" operator="lessThan">
      <formula>0</formula>
    </cfRule>
  </conditionalFormatting>
  <conditionalFormatting sqref="E14">
    <cfRule type="cellIs" dxfId="20" priority="17" operator="greaterThan">
      <formula>$B$16</formula>
    </cfRule>
  </conditionalFormatting>
  <conditionalFormatting sqref="E51:F51">
    <cfRule type="cellIs" dxfId="19" priority="4" operator="lessThan">
      <formula>1</formula>
    </cfRule>
  </conditionalFormatting>
  <conditionalFormatting sqref="E52:F52">
    <cfRule type="containsBlanks" priority="3">
      <formula>LEN(TRIM(E52))=0</formula>
    </cfRule>
  </conditionalFormatting>
  <conditionalFormatting sqref="E28:H28">
    <cfRule type="containsBlanks" dxfId="18" priority="13">
      <formula>LEN(TRIM(E28))=0</formula>
    </cfRule>
  </conditionalFormatting>
  <conditionalFormatting sqref="F16">
    <cfRule type="cellIs" dxfId="17" priority="20" operator="greaterThan">
      <formula>$B$16</formula>
    </cfRule>
  </conditionalFormatting>
  <conditionalFormatting sqref="G16">
    <cfRule type="cellIs" dxfId="16" priority="35" operator="lessThan">
      <formula>0</formula>
    </cfRule>
  </conditionalFormatting>
  <conditionalFormatting sqref="I37:J38">
    <cfRule type="containsBlanks" priority="7">
      <formula>LEN(TRIM(I37))=0</formula>
    </cfRule>
  </conditionalFormatting>
  <conditionalFormatting sqref="K40">
    <cfRule type="containsBlanks" priority="14">
      <formula>LEN(TRIM(K40))=0</formula>
    </cfRule>
  </conditionalFormatting>
  <dataValidations disablePrompts="1" count="6">
    <dataValidation type="list" allowBlank="1" sqref="I3" xr:uid="{00000000-0002-0000-0000-000000000000}">
      <formula1>"HK,US:NASDAQ,CN"</formula1>
    </dataValidation>
    <dataValidation type="list" allowBlank="1" sqref="I11" xr:uid="{00000000-0002-0000-0000-000001000000}">
      <formula1>"HKD,USD,CNY,EUR"</formula1>
    </dataValidation>
    <dataValidation type="list" allowBlank="1" showInputMessage="1" showErrorMessage="1" sqref="C10" xr:uid="{CA293681-B01E-459F-8C40-5799F5EB5C26}">
      <formula1>"US, CN, HK"</formula1>
    </dataValidation>
    <dataValidation type="list" allowBlank="1" showInputMessage="1" showErrorMessage="1" sqref="D20" xr:uid="{653EE4BA-4D98-4EE5-AD27-D0955626562F}">
      <formula1>"Slow Growers, Stalwarts, Fast Growers, Cyclicals, Turnarounds, Asset Plays "</formula1>
    </dataValidation>
    <dataValidation allowBlank="1" sqref="F49" xr:uid="{93A0A854-6906-47E5-9CB9-89F531648935}"/>
    <dataValidation type="list" allowBlank="1" showInputMessage="1" showErrorMessage="1" sqref="B53" xr:uid="{5650037A-2134-4900-ABF2-A28ECB840AD9}">
      <formula1>"⇒ 1/2 Kelly %, ⇒ 1/3 Kelly %, ⇒ 1/4 Kelly %"</formula1>
    </dataValidation>
  </dataValidations>
  <hyperlinks>
    <hyperlink ref="E20" r:id="rId1" xr:uid="{A32D64E0-BF18-4451-BCDD-98677BDA8148}"/>
  </hyperlinks>
  <pageMargins left="0.7" right="0.7" top="0.75" bottom="0.75" header="0" footer="0"/>
  <pageSetup scale="83" orientation="landscape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outlinePr summaryBelow="0" summaryRight="0"/>
  </sheetPr>
  <dimension ref="A1:N949"/>
  <sheetViews>
    <sheetView showGridLines="0" topLeftCell="E7" zoomScaleNormal="100" workbookViewId="0">
      <selection activeCell="C35" sqref="C35:M35"/>
    </sheetView>
  </sheetViews>
  <sheetFormatPr defaultColWidth="12.46484375" defaultRowHeight="15" customHeight="1"/>
  <cols>
    <col min="1" max="1" width="1.46484375" style="3" customWidth="1"/>
    <col min="2" max="2" width="26.46484375" style="3" customWidth="1"/>
    <col min="3" max="13" width="24.73046875" style="3" customWidth="1"/>
    <col min="14" max="16384" width="12.46484375" style="3"/>
  </cols>
  <sheetData>
    <row r="1" spans="1:14" ht="8.25" customHeight="1">
      <c r="A1" s="23"/>
      <c r="B1" s="24"/>
      <c r="C1" s="25"/>
      <c r="D1" s="25"/>
      <c r="E1" s="25"/>
      <c r="F1" s="25"/>
    </row>
    <row r="2" spans="1:14" ht="15.75" customHeight="1">
      <c r="A2" s="26"/>
      <c r="B2" s="11" t="s">
        <v>38</v>
      </c>
      <c r="C2" s="31"/>
      <c r="D2" s="27"/>
      <c r="E2" s="27"/>
      <c r="F2" s="31"/>
      <c r="G2" s="12"/>
      <c r="H2" s="12"/>
      <c r="I2" s="12"/>
      <c r="J2" s="6"/>
      <c r="K2" s="12"/>
      <c r="L2" s="12"/>
      <c r="M2" s="12"/>
    </row>
    <row r="3" spans="1:14" ht="15.75" customHeight="1">
      <c r="A3" s="9"/>
      <c r="B3" s="5" t="s">
        <v>39</v>
      </c>
      <c r="C3" s="176">
        <v>44926</v>
      </c>
      <c r="D3" s="6"/>
      <c r="E3" s="97">
        <v>1</v>
      </c>
      <c r="F3" s="178">
        <f t="array" ref="F3">AVERAGE(C19:INDEX(C19:M19,1,E3))</f>
        <v>582451</v>
      </c>
      <c r="G3" s="6"/>
      <c r="H3" s="5"/>
      <c r="I3" s="6"/>
      <c r="J3" s="96"/>
      <c r="K3" s="6"/>
      <c r="L3" s="6"/>
      <c r="M3" s="6"/>
    </row>
    <row r="4" spans="1:14" ht="15.75" customHeight="1">
      <c r="A4" s="9"/>
      <c r="B4" s="5" t="s">
        <v>40</v>
      </c>
      <c r="C4" s="148">
        <v>1000</v>
      </c>
      <c r="D4" s="6"/>
      <c r="E4" s="28">
        <f>E3</f>
        <v>1</v>
      </c>
      <c r="F4" s="177">
        <f>AVERAGE(C16:INDEX(C16:M16,1,E4))</f>
        <v>106072.5</v>
      </c>
      <c r="G4" s="6"/>
      <c r="I4" s="6"/>
      <c r="J4" s="54"/>
      <c r="K4" s="6"/>
    </row>
    <row r="5" spans="1:14" ht="15.75" customHeight="1">
      <c r="A5" s="9"/>
      <c r="C5" s="6"/>
      <c r="F5" s="6"/>
      <c r="J5" s="6"/>
    </row>
    <row r="6" spans="1:14" ht="15.75" customHeight="1">
      <c r="A6" s="9"/>
      <c r="B6" s="29"/>
      <c r="C6" s="113">
        <f>C3</f>
        <v>44926</v>
      </c>
      <c r="D6" s="114">
        <f>EOMONTH(EDATE(C6,-12),0)</f>
        <v>44561</v>
      </c>
      <c r="E6" s="114">
        <f t="shared" ref="E6:M6" si="0">EOMONTH(EDATE(D6,-12),0)</f>
        <v>44196</v>
      </c>
      <c r="F6" s="114">
        <f t="shared" si="0"/>
        <v>43830</v>
      </c>
      <c r="G6" s="114">
        <f t="shared" si="0"/>
        <v>43465</v>
      </c>
      <c r="H6" s="114">
        <f t="shared" si="0"/>
        <v>43100</v>
      </c>
      <c r="I6" s="114">
        <f t="shared" si="0"/>
        <v>42735</v>
      </c>
      <c r="J6" s="114">
        <f t="shared" si="0"/>
        <v>42369</v>
      </c>
      <c r="K6" s="114">
        <f t="shared" si="0"/>
        <v>42004</v>
      </c>
      <c r="L6" s="114">
        <f t="shared" si="0"/>
        <v>41639</v>
      </c>
      <c r="M6" s="114">
        <f t="shared" si="0"/>
        <v>41274</v>
      </c>
    </row>
    <row r="7" spans="1:14" ht="15.75" customHeight="1">
      <c r="A7" s="9"/>
      <c r="B7" s="159" t="s">
        <v>41</v>
      </c>
      <c r="C7" s="160">
        <v>10722361</v>
      </c>
      <c r="D7" s="160">
        <v>7737943</v>
      </c>
      <c r="E7" s="160">
        <v>4526914</v>
      </c>
      <c r="F7" s="160">
        <v>3573978</v>
      </c>
      <c r="G7" s="160"/>
      <c r="H7" s="160"/>
      <c r="I7" s="160"/>
      <c r="J7" s="160"/>
      <c r="K7" s="160"/>
      <c r="L7" s="160"/>
      <c r="M7" s="160"/>
      <c r="N7" s="6"/>
    </row>
    <row r="8" spans="1:14" ht="15.75" customHeight="1">
      <c r="A8" s="9"/>
      <c r="B8" s="155" t="s">
        <v>42</v>
      </c>
      <c r="C8" s="149">
        <f t="shared" ref="C8:L8" si="1">IF(D7="","",C7/D7-1)</f>
        <v>0.38568622177754475</v>
      </c>
      <c r="D8" s="149">
        <f t="shared" si="1"/>
        <v>0.70931963805806775</v>
      </c>
      <c r="E8" s="149">
        <f t="shared" si="1"/>
        <v>0.266631747593298</v>
      </c>
      <c r="F8" s="149" t="str">
        <f t="shared" si="1"/>
        <v/>
      </c>
      <c r="G8" s="149" t="str">
        <f t="shared" si="1"/>
        <v/>
      </c>
      <c r="H8" s="149" t="str">
        <f t="shared" si="1"/>
        <v/>
      </c>
      <c r="I8" s="149" t="str">
        <f t="shared" si="1"/>
        <v/>
      </c>
      <c r="J8" s="149" t="str">
        <f t="shared" si="1"/>
        <v/>
      </c>
      <c r="K8" s="149" t="str">
        <f t="shared" si="1"/>
        <v/>
      </c>
      <c r="L8" s="149" t="str">
        <f t="shared" si="1"/>
        <v/>
      </c>
      <c r="M8" s="149"/>
      <c r="N8" s="6"/>
    </row>
    <row r="9" spans="1:14" ht="15.75" customHeight="1">
      <c r="A9" s="9"/>
      <c r="B9" s="155" t="s">
        <v>43</v>
      </c>
      <c r="C9" s="148">
        <f>9290616+680018+165770</f>
        <v>10136404</v>
      </c>
      <c r="D9" s="148">
        <f>6587154+593824+159734</f>
        <v>7340712</v>
      </c>
      <c r="E9" s="148">
        <f>3634717+423329+146554</f>
        <v>4204600</v>
      </c>
      <c r="F9" s="148">
        <f>2652315+425936+136707</f>
        <v>3214958</v>
      </c>
      <c r="G9" s="148"/>
      <c r="H9" s="148"/>
      <c r="I9" s="148"/>
      <c r="J9" s="148"/>
      <c r="K9" s="148"/>
      <c r="L9" s="148"/>
      <c r="M9" s="148"/>
      <c r="N9" s="6"/>
    </row>
    <row r="10" spans="1:14" ht="15.75" customHeight="1">
      <c r="A10" s="9"/>
      <c r="B10" s="155" t="s">
        <v>44</v>
      </c>
      <c r="C10" s="149">
        <f t="shared" ref="C10:M10" si="2">IF(C7="","",(C7-C9)/C7)</f>
        <v>5.4648132067181845E-2</v>
      </c>
      <c r="D10" s="149">
        <f t="shared" si="2"/>
        <v>5.1335477658597382E-2</v>
      </c>
      <c r="E10" s="149">
        <f t="shared" si="2"/>
        <v>7.1199497052517449E-2</v>
      </c>
      <c r="F10" s="149">
        <f t="shared" si="2"/>
        <v>0.10045389199373919</v>
      </c>
      <c r="G10" s="149" t="str">
        <f t="shared" si="2"/>
        <v/>
      </c>
      <c r="H10" s="149" t="str">
        <f t="shared" si="2"/>
        <v/>
      </c>
      <c r="I10" s="149" t="str">
        <f t="shared" si="2"/>
        <v/>
      </c>
      <c r="J10" s="149" t="str">
        <f t="shared" si="2"/>
        <v/>
      </c>
      <c r="K10" s="149" t="str">
        <f t="shared" si="2"/>
        <v/>
      </c>
      <c r="L10" s="149" t="str">
        <f t="shared" si="2"/>
        <v/>
      </c>
      <c r="M10" s="149" t="str">
        <f t="shared" si="2"/>
        <v/>
      </c>
      <c r="N10" s="6"/>
    </row>
    <row r="11" spans="1:14" ht="15.75" customHeight="1">
      <c r="A11" s="9"/>
      <c r="B11" s="155" t="s">
        <v>45</v>
      </c>
      <c r="C11" s="148">
        <v>444527</v>
      </c>
      <c r="D11" s="148">
        <v>359473</v>
      </c>
      <c r="E11" s="148">
        <v>228660</v>
      </c>
      <c r="F11" s="148">
        <v>271638</v>
      </c>
      <c r="G11" s="148"/>
      <c r="H11" s="148"/>
      <c r="I11" s="148"/>
      <c r="J11" s="148"/>
      <c r="K11" s="148"/>
      <c r="L11" s="148"/>
      <c r="M11" s="148"/>
      <c r="N11" s="6"/>
    </row>
    <row r="12" spans="1:14" ht="15.75" customHeight="1">
      <c r="A12" s="9"/>
      <c r="B12" s="155" t="s">
        <v>46</v>
      </c>
      <c r="C12" s="149">
        <f t="shared" ref="C12:M12" si="3">IF(C7="","",C10-C13)</f>
        <v>4.1457940093604387E-2</v>
      </c>
      <c r="D12" s="149">
        <f t="shared" si="3"/>
        <v>4.6455886273651797E-2</v>
      </c>
      <c r="E12" s="149">
        <f t="shared" si="3"/>
        <v>5.051123127145777E-2</v>
      </c>
      <c r="F12" s="149">
        <f t="shared" si="3"/>
        <v>7.6004385029790344E-2</v>
      </c>
      <c r="G12" s="149" t="str">
        <f t="shared" si="3"/>
        <v/>
      </c>
      <c r="H12" s="149" t="str">
        <f t="shared" si="3"/>
        <v/>
      </c>
      <c r="I12" s="149" t="str">
        <f t="shared" si="3"/>
        <v/>
      </c>
      <c r="J12" s="149" t="str">
        <f t="shared" si="3"/>
        <v/>
      </c>
      <c r="K12" s="149" t="str">
        <f t="shared" si="3"/>
        <v/>
      </c>
      <c r="L12" s="149" t="str">
        <f t="shared" si="3"/>
        <v/>
      </c>
      <c r="M12" s="149" t="str">
        <f t="shared" si="3"/>
        <v/>
      </c>
      <c r="N12" s="6"/>
    </row>
    <row r="13" spans="1:14" ht="15.75" customHeight="1">
      <c r="A13" s="9"/>
      <c r="B13" s="155" t="s">
        <v>47</v>
      </c>
      <c r="C13" s="149">
        <f t="shared" ref="C13:M13" si="4">IF(C14="","",C14/C7)</f>
        <v>1.319019197357746E-2</v>
      </c>
      <c r="D13" s="149">
        <f t="shared" si="4"/>
        <v>4.8795913849455858E-3</v>
      </c>
      <c r="E13" s="149">
        <f t="shared" si="4"/>
        <v>2.068826578105968E-2</v>
      </c>
      <c r="F13" s="149">
        <f t="shared" si="4"/>
        <v>2.4449506963948854E-2</v>
      </c>
      <c r="G13" s="149" t="str">
        <f t="shared" si="4"/>
        <v/>
      </c>
      <c r="H13" s="149" t="str">
        <f t="shared" si="4"/>
        <v/>
      </c>
      <c r="I13" s="149" t="str">
        <f t="shared" si="4"/>
        <v/>
      </c>
      <c r="J13" s="149" t="str">
        <f t="shared" si="4"/>
        <v/>
      </c>
      <c r="K13" s="149" t="str">
        <f t="shared" si="4"/>
        <v/>
      </c>
      <c r="L13" s="149" t="str">
        <f t="shared" si="4"/>
        <v/>
      </c>
      <c r="M13" s="149" t="str">
        <f t="shared" si="4"/>
        <v/>
      </c>
      <c r="N13" s="6"/>
    </row>
    <row r="14" spans="1:14" ht="15.75" customHeight="1">
      <c r="A14" s="9"/>
      <c r="B14" s="155" t="s">
        <v>48</v>
      </c>
      <c r="C14" s="51">
        <f t="shared" ref="C14:M14" si="5">IF(C7="","",C7-C9-C11)</f>
        <v>141430</v>
      </c>
      <c r="D14" s="51">
        <f t="shared" si="5"/>
        <v>37758</v>
      </c>
      <c r="E14" s="51">
        <f t="shared" si="5"/>
        <v>93654</v>
      </c>
      <c r="F14" s="51">
        <f t="shared" si="5"/>
        <v>87382</v>
      </c>
      <c r="G14" s="51" t="str">
        <f t="shared" si="5"/>
        <v/>
      </c>
      <c r="H14" s="51" t="str">
        <f t="shared" si="5"/>
        <v/>
      </c>
      <c r="I14" s="51" t="str">
        <f t="shared" si="5"/>
        <v/>
      </c>
      <c r="J14" s="51" t="str">
        <f t="shared" si="5"/>
        <v/>
      </c>
      <c r="K14" s="51" t="str">
        <f t="shared" si="5"/>
        <v/>
      </c>
      <c r="L14" s="51" t="str">
        <f t="shared" si="5"/>
        <v/>
      </c>
      <c r="M14" s="51" t="str">
        <f t="shared" si="5"/>
        <v/>
      </c>
      <c r="N14" s="6"/>
    </row>
    <row r="15" spans="1:14" ht="15.75" customHeight="1">
      <c r="A15" s="9"/>
      <c r="B15" s="155" t="s">
        <v>49</v>
      </c>
      <c r="C15" s="149">
        <f>IF(D14="","",IF(ABS(C14+D14)=ABS(C14)+ABS(D14),IF(C14&lt;0,-1,1)*(C14-D14)/D14,"Turn"))</f>
        <v>2.7456962762858201</v>
      </c>
      <c r="D15" s="149">
        <f t="shared" ref="D15:M15" si="6">IF(E14="","",IF(ABS(D14+E14)=ABS(D14)+ABS(E14),IF(D14&lt;0,-1,1)*(D14-E14)/E14,"Turn"))</f>
        <v>-0.59683515920302388</v>
      </c>
      <c r="E15" s="149">
        <f t="shared" si="6"/>
        <v>7.177679613650409E-2</v>
      </c>
      <c r="F15" s="149" t="str">
        <f t="shared" si="6"/>
        <v/>
      </c>
      <c r="G15" s="149" t="str">
        <f t="shared" si="6"/>
        <v/>
      </c>
      <c r="H15" s="149" t="str">
        <f t="shared" si="6"/>
        <v/>
      </c>
      <c r="I15" s="149" t="str">
        <f t="shared" si="6"/>
        <v/>
      </c>
      <c r="J15" s="149" t="str">
        <f t="shared" si="6"/>
        <v/>
      </c>
      <c r="K15" s="149" t="str">
        <f t="shared" si="6"/>
        <v/>
      </c>
      <c r="L15" s="149" t="str">
        <f t="shared" si="6"/>
        <v/>
      </c>
      <c r="M15" s="149" t="str">
        <f t="shared" si="6"/>
        <v/>
      </c>
      <c r="N15" s="6"/>
    </row>
    <row r="16" spans="1:14" ht="15.75" customHeight="1">
      <c r="A16" s="9"/>
      <c r="B16" s="155" t="s">
        <v>50</v>
      </c>
      <c r="C16" s="51">
        <f>IF(C14="","",C14*(1-Projections!$F$19))</f>
        <v>106072.5</v>
      </c>
      <c r="D16" s="51">
        <f>IF(D14="","",D14*(1-Projections!$F$19))</f>
        <v>28318.5</v>
      </c>
      <c r="E16" s="51">
        <f>IF(E14="","",E14*(1-Projections!$F$19))</f>
        <v>70240.5</v>
      </c>
      <c r="F16" s="51">
        <f>IF(F14="","",F14*(1-Projections!$F$19))</f>
        <v>65536.5</v>
      </c>
      <c r="G16" s="51" t="str">
        <f>IF(G14="","",G14*(1-Projections!$F$19))</f>
        <v/>
      </c>
      <c r="H16" s="51" t="str">
        <f>IF(H14="","",H14*(1-Projections!$F$19))</f>
        <v/>
      </c>
      <c r="I16" s="51" t="str">
        <f>IF(I14="","",I14*(1-Projections!$F$19))</f>
        <v/>
      </c>
      <c r="J16" s="51" t="str">
        <f>IF(J14="","",J14*(1-Projections!$F$19))</f>
        <v/>
      </c>
      <c r="K16" s="51" t="str">
        <f>IF(K14="","",K14*(1-Projections!$F$19))</f>
        <v/>
      </c>
      <c r="L16" s="51" t="str">
        <f>IF(L14="","",L14*(1-Projections!$F$19))</f>
        <v/>
      </c>
      <c r="M16" s="51" t="str">
        <f>IF(M14="","",M14*(1-Projections!$F$19))</f>
        <v/>
      </c>
      <c r="N16" s="6"/>
    </row>
    <row r="17" spans="1:14" ht="15.75" customHeight="1">
      <c r="A17" s="9"/>
      <c r="B17" s="155" t="s">
        <v>51</v>
      </c>
      <c r="C17" s="149">
        <f t="shared" ref="C17:M17" si="7">IF(C7="","",C16/C7)</f>
        <v>9.8926439801830957E-3</v>
      </c>
      <c r="D17" s="149">
        <f t="shared" si="7"/>
        <v>3.6596935387091891E-3</v>
      </c>
      <c r="E17" s="149">
        <f t="shared" si="7"/>
        <v>1.551619933579476E-2</v>
      </c>
      <c r="F17" s="149">
        <f t="shared" si="7"/>
        <v>1.8337130222961642E-2</v>
      </c>
      <c r="G17" s="149" t="str">
        <f t="shared" si="7"/>
        <v/>
      </c>
      <c r="H17" s="149" t="str">
        <f t="shared" si="7"/>
        <v/>
      </c>
      <c r="I17" s="149" t="str">
        <f t="shared" si="7"/>
        <v/>
      </c>
      <c r="J17" s="149" t="str">
        <f t="shared" si="7"/>
        <v/>
      </c>
      <c r="K17" s="149" t="str">
        <f t="shared" si="7"/>
        <v/>
      </c>
      <c r="L17" s="149" t="str">
        <f t="shared" si="7"/>
        <v/>
      </c>
      <c r="M17" s="149" t="str">
        <f t="shared" si="7"/>
        <v/>
      </c>
      <c r="N17" s="6"/>
    </row>
    <row r="18" spans="1:14" ht="15.75" customHeight="1">
      <c r="A18" s="9"/>
      <c r="B18" s="155" t="s">
        <v>213</v>
      </c>
      <c r="C18" s="148">
        <v>12361</v>
      </c>
      <c r="D18" s="148">
        <v>915</v>
      </c>
      <c r="E18" s="148">
        <v>578</v>
      </c>
      <c r="F18" s="148">
        <v>538</v>
      </c>
      <c r="G18" s="148"/>
      <c r="H18" s="148"/>
      <c r="I18" s="148"/>
      <c r="J18" s="148"/>
      <c r="K18" s="148"/>
      <c r="L18" s="148"/>
      <c r="M18" s="148"/>
      <c r="N18" s="6"/>
    </row>
    <row r="19" spans="1:14" ht="15.75" customHeight="1">
      <c r="A19" s="9"/>
      <c r="B19" s="155" t="s">
        <v>52</v>
      </c>
      <c r="C19" s="148">
        <v>582451</v>
      </c>
      <c r="D19" s="148">
        <v>327798</v>
      </c>
      <c r="E19" s="148">
        <v>68639</v>
      </c>
      <c r="F19" s="148">
        <v>25020</v>
      </c>
      <c r="G19" s="148"/>
      <c r="H19" s="148"/>
      <c r="I19" s="148"/>
      <c r="J19" s="148"/>
      <c r="K19" s="148"/>
      <c r="L19" s="148"/>
      <c r="M19" s="148"/>
      <c r="N19" s="6"/>
    </row>
    <row r="20" spans="1:14" ht="15.75" customHeight="1">
      <c r="A20" s="9"/>
      <c r="B20" s="155" t="s">
        <v>225</v>
      </c>
      <c r="C20" s="149">
        <f>IF(D19="","",IF(ABS(C19+D19)=ABS(C19)+ABS(D19),IF(C19&lt;0,-1,1)*(C19-D19)/D19,"Turn"))</f>
        <v>0.77685952934429126</v>
      </c>
      <c r="D20" s="149">
        <f t="shared" ref="D20:M20" si="8">IF(E19="","",IF(ABS(D19+E19)=ABS(D19)+ABS(E19),IF(D19&lt;0,-1,1)*(D19-E19)/E19,"Turn"))</f>
        <v>3.7756814638907907</v>
      </c>
      <c r="E20" s="149">
        <f t="shared" si="8"/>
        <v>1.7433653077537969</v>
      </c>
      <c r="F20" s="149" t="str">
        <f t="shared" si="8"/>
        <v/>
      </c>
      <c r="G20" s="149" t="str">
        <f t="shared" si="8"/>
        <v/>
      </c>
      <c r="H20" s="149" t="str">
        <f t="shared" si="8"/>
        <v/>
      </c>
      <c r="I20" s="149" t="str">
        <f t="shared" si="8"/>
        <v/>
      </c>
      <c r="J20" s="149" t="str">
        <f t="shared" si="8"/>
        <v/>
      </c>
      <c r="K20" s="149" t="str">
        <f t="shared" si="8"/>
        <v/>
      </c>
      <c r="L20" s="149" t="str">
        <f t="shared" si="8"/>
        <v/>
      </c>
      <c r="M20" s="149" t="str">
        <f t="shared" si="8"/>
        <v/>
      </c>
      <c r="N20" s="6"/>
    </row>
    <row r="21" spans="1:14" ht="15.75" customHeight="1">
      <c r="A21" s="9"/>
      <c r="B21" s="155" t="s">
        <v>379</v>
      </c>
      <c r="C21" s="150">
        <v>8283100</v>
      </c>
      <c r="D21" s="148">
        <v>5543164</v>
      </c>
      <c r="E21" s="148">
        <v>3829838</v>
      </c>
      <c r="F21" s="148">
        <v>3533169</v>
      </c>
      <c r="G21" s="148"/>
      <c r="H21" s="148"/>
      <c r="I21" s="148"/>
      <c r="J21" s="148"/>
      <c r="K21" s="148"/>
      <c r="L21" s="148"/>
      <c r="M21" s="148"/>
      <c r="N21" s="6"/>
    </row>
    <row r="22" spans="1:14" ht="15.75" customHeight="1">
      <c r="A22" s="9"/>
      <c r="B22" s="155" t="s">
        <v>93</v>
      </c>
      <c r="C22" s="150">
        <v>6610566</v>
      </c>
      <c r="D22" s="148">
        <v>4853186</v>
      </c>
      <c r="E22" s="148">
        <v>3307006</v>
      </c>
      <c r="F22" s="148">
        <v>2973622</v>
      </c>
      <c r="G22" s="148"/>
      <c r="H22" s="148"/>
      <c r="I22" s="148"/>
      <c r="J22" s="148"/>
      <c r="K22" s="148"/>
      <c r="L22" s="148"/>
      <c r="M22" s="148"/>
      <c r="N22" s="6"/>
    </row>
    <row r="23" spans="1:14" ht="15.75" customHeight="1">
      <c r="A23" s="9"/>
      <c r="B23" s="155" t="s">
        <v>53</v>
      </c>
      <c r="C23" s="150">
        <v>4103125</v>
      </c>
      <c r="D23" s="148">
        <v>2168053</v>
      </c>
      <c r="E23" s="148">
        <v>1037232</v>
      </c>
      <c r="F23" s="148">
        <v>761502</v>
      </c>
      <c r="G23" s="148"/>
      <c r="H23" s="148"/>
      <c r="I23" s="148"/>
      <c r="J23" s="148"/>
      <c r="K23" s="148"/>
      <c r="L23" s="148"/>
      <c r="M23" s="148"/>
      <c r="N23" s="6"/>
    </row>
    <row r="24" spans="1:14" ht="15.5" customHeight="1">
      <c r="A24" s="9"/>
      <c r="B24" s="155" t="s">
        <v>54</v>
      </c>
      <c r="C24" s="150">
        <v>643680</v>
      </c>
      <c r="D24" s="148">
        <v>11513</v>
      </c>
      <c r="E24" s="148">
        <v>9495</v>
      </c>
      <c r="F24" s="148">
        <v>6740</v>
      </c>
      <c r="G24" s="148"/>
      <c r="H24" s="148"/>
      <c r="I24" s="148"/>
      <c r="J24" s="148"/>
      <c r="K24" s="148"/>
      <c r="L24" s="148"/>
      <c r="M24" s="148"/>
      <c r="N24" s="6"/>
    </row>
    <row r="25" spans="1:14" ht="15.75" customHeight="1">
      <c r="A25" s="9"/>
      <c r="B25" s="156" t="s">
        <v>55</v>
      </c>
      <c r="C25" s="151">
        <v>7392</v>
      </c>
      <c r="D25" s="152">
        <v>11513</v>
      </c>
      <c r="E25" s="152">
        <v>9495</v>
      </c>
      <c r="F25" s="152">
        <v>6740</v>
      </c>
      <c r="G25" s="152"/>
      <c r="H25" s="152"/>
      <c r="I25" s="152"/>
      <c r="J25" s="152"/>
      <c r="K25" s="152"/>
      <c r="L25" s="152"/>
      <c r="M25" s="152"/>
      <c r="N25" s="6"/>
    </row>
    <row r="26" spans="1:14" ht="15.75" customHeight="1">
      <c r="A26" s="9"/>
      <c r="B26" s="155" t="s">
        <v>56</v>
      </c>
      <c r="C26" s="150">
        <v>35314</v>
      </c>
      <c r="D26" s="148">
        <v>11042</v>
      </c>
      <c r="E26" s="148">
        <v>9934</v>
      </c>
      <c r="F26" s="148">
        <v>3143</v>
      </c>
      <c r="G26" s="148"/>
      <c r="H26" s="148"/>
      <c r="I26" s="148"/>
      <c r="J26" s="148"/>
      <c r="K26" s="148"/>
      <c r="L26" s="148"/>
      <c r="M26" s="148"/>
      <c r="N26" s="6"/>
    </row>
    <row r="27" spans="1:14" ht="15.75" customHeight="1">
      <c r="A27" s="9"/>
      <c r="B27" s="156" t="s">
        <v>57</v>
      </c>
      <c r="C27" s="153">
        <v>4402</v>
      </c>
      <c r="D27" s="152">
        <v>11042</v>
      </c>
      <c r="E27" s="152">
        <v>9934</v>
      </c>
      <c r="F27" s="152">
        <v>3143</v>
      </c>
      <c r="G27" s="152"/>
      <c r="H27" s="152"/>
      <c r="I27" s="152"/>
      <c r="J27" s="152"/>
      <c r="K27" s="152"/>
      <c r="L27" s="152"/>
      <c r="M27" s="152"/>
      <c r="N27" s="6"/>
    </row>
    <row r="28" spans="1:14" ht="15.75" customHeight="1">
      <c r="A28" s="9"/>
      <c r="B28" s="155" t="s">
        <v>58</v>
      </c>
      <c r="C28" s="51">
        <f t="shared" ref="C28:M28" si="9">IF(C7="","",C24+C26)</f>
        <v>678994</v>
      </c>
      <c r="D28" s="51">
        <f t="shared" si="9"/>
        <v>22555</v>
      </c>
      <c r="E28" s="51">
        <f t="shared" si="9"/>
        <v>19429</v>
      </c>
      <c r="F28" s="51">
        <f t="shared" si="9"/>
        <v>9883</v>
      </c>
      <c r="G28" s="51" t="str">
        <f t="shared" si="9"/>
        <v/>
      </c>
      <c r="H28" s="51" t="str">
        <f t="shared" si="9"/>
        <v/>
      </c>
      <c r="I28" s="51" t="str">
        <f t="shared" si="9"/>
        <v/>
      </c>
      <c r="J28" s="51" t="str">
        <f t="shared" si="9"/>
        <v/>
      </c>
      <c r="K28" s="51" t="str">
        <f t="shared" si="9"/>
        <v/>
      </c>
      <c r="L28" s="51" t="str">
        <f t="shared" si="9"/>
        <v/>
      </c>
      <c r="M28" s="51" t="str">
        <f t="shared" si="9"/>
        <v/>
      </c>
      <c r="N28" s="6"/>
    </row>
    <row r="29" spans="1:14" ht="15.75" customHeight="1">
      <c r="A29" s="9"/>
      <c r="B29" s="155" t="s">
        <v>59</v>
      </c>
      <c r="C29" s="150">
        <v>4115773</v>
      </c>
      <c r="D29" s="148">
        <v>3345625</v>
      </c>
      <c r="E29" s="148">
        <v>2767154</v>
      </c>
      <c r="F29" s="148">
        <v>2751435</v>
      </c>
      <c r="G29" s="148"/>
      <c r="H29" s="148"/>
      <c r="I29" s="148"/>
      <c r="J29" s="148"/>
      <c r="K29" s="148"/>
      <c r="L29" s="148"/>
      <c r="M29" s="148"/>
      <c r="N29" s="6"/>
    </row>
    <row r="30" spans="1:14" ht="15.75" customHeight="1">
      <c r="A30" s="9"/>
      <c r="B30" s="156" t="s">
        <v>183</v>
      </c>
      <c r="C30" s="153">
        <v>4064698</v>
      </c>
      <c r="D30" s="152">
        <v>3032424</v>
      </c>
      <c r="E30" s="152">
        <v>2709936</v>
      </c>
      <c r="F30" s="152">
        <v>2751435</v>
      </c>
      <c r="G30" s="152"/>
      <c r="H30" s="152"/>
      <c r="I30" s="152"/>
      <c r="J30" s="152"/>
      <c r="K30" s="152"/>
      <c r="L30" s="152"/>
      <c r="M30" s="152"/>
      <c r="N30" s="6"/>
    </row>
    <row r="31" spans="1:14" ht="15.75" customHeight="1">
      <c r="A31" s="9"/>
      <c r="B31" s="155" t="s">
        <v>354</v>
      </c>
      <c r="C31" s="150">
        <v>1490300</v>
      </c>
      <c r="D31" s="148">
        <v>583434</v>
      </c>
      <c r="E31" s="148">
        <v>467046</v>
      </c>
      <c r="F31" s="148">
        <v>504215</v>
      </c>
      <c r="G31" s="148"/>
      <c r="H31" s="148"/>
      <c r="I31" s="148"/>
      <c r="J31" s="148"/>
      <c r="K31" s="148"/>
      <c r="L31" s="148"/>
      <c r="M31" s="148"/>
      <c r="N31" s="6"/>
    </row>
    <row r="32" spans="1:14" ht="15.75" customHeight="1">
      <c r="A32" s="9"/>
      <c r="B32" s="155" t="s">
        <v>196</v>
      </c>
      <c r="C32" s="150">
        <v>2818823</v>
      </c>
      <c r="D32" s="148">
        <v>2267118</v>
      </c>
      <c r="E32" s="148">
        <v>1627531</v>
      </c>
      <c r="F32" s="148">
        <v>1538328</v>
      </c>
      <c r="G32" s="148"/>
      <c r="H32" s="148"/>
      <c r="I32" s="148"/>
      <c r="J32" s="148"/>
      <c r="K32" s="148"/>
      <c r="L32" s="148"/>
      <c r="M32" s="148"/>
      <c r="N32" s="6"/>
    </row>
    <row r="33" spans="1:14" ht="15.75" customHeight="1">
      <c r="A33" s="9"/>
      <c r="B33" s="155" t="s">
        <v>346</v>
      </c>
      <c r="C33" s="161">
        <v>1176000</v>
      </c>
      <c r="D33" s="161">
        <v>247000</v>
      </c>
      <c r="E33" s="161">
        <v>56000</v>
      </c>
      <c r="F33" s="161">
        <v>69000</v>
      </c>
      <c r="G33" s="161" t="str">
        <f t="shared" ref="G33:M33" si="10">IF(H7="","",G31-H31+IF($C$58="Yes",G60,0))</f>
        <v/>
      </c>
      <c r="H33" s="161" t="str">
        <f t="shared" si="10"/>
        <v/>
      </c>
      <c r="I33" s="161" t="str">
        <f t="shared" si="10"/>
        <v/>
      </c>
      <c r="J33" s="161" t="str">
        <f t="shared" si="10"/>
        <v/>
      </c>
      <c r="K33" s="161" t="str">
        <f t="shared" si="10"/>
        <v/>
      </c>
      <c r="L33" s="161" t="str">
        <f t="shared" si="10"/>
        <v/>
      </c>
      <c r="M33" s="161" t="str">
        <f t="shared" si="10"/>
        <v/>
      </c>
      <c r="N33" s="6"/>
    </row>
    <row r="34" spans="1:14" ht="15.75" customHeight="1">
      <c r="A34" s="9"/>
      <c r="B34" s="155" t="s">
        <v>373</v>
      </c>
      <c r="C34" s="161">
        <v>230000</v>
      </c>
      <c r="D34" s="161">
        <v>0</v>
      </c>
      <c r="E34" s="161">
        <v>0</v>
      </c>
      <c r="F34" s="161">
        <v>0</v>
      </c>
      <c r="G34" s="161"/>
      <c r="H34" s="161"/>
      <c r="I34" s="161"/>
      <c r="J34" s="161"/>
      <c r="K34" s="161"/>
      <c r="L34" s="161"/>
      <c r="M34" s="161"/>
      <c r="N34" s="6"/>
    </row>
    <row r="35" spans="1:14" ht="15.75" customHeight="1">
      <c r="A35" s="9"/>
      <c r="B35" s="155" t="s">
        <v>60</v>
      </c>
      <c r="C35" s="154">
        <f>IF(D7="","",IF(C8&lt;0,0,(C7-D7)*Asset_Model!$D$68))</f>
        <v>1023356.9321999999</v>
      </c>
      <c r="D35" s="154">
        <f>IF(E7="","",IF(D8&lt;0,0,(D7-E7)*Asset_Model!$D$68))</f>
        <v>1101061.8440999999</v>
      </c>
      <c r="E35" s="154">
        <f>IF(F7="","",IF(E8&lt;0,0,(E7-F7)*Asset_Model!$D$68))</f>
        <v>326761.75439999998</v>
      </c>
      <c r="F35" s="154" t="str">
        <f>IF(G7="","",IF(F8&lt;0,0,(F7-G7)*Asset_Model!$D$68))</f>
        <v/>
      </c>
      <c r="G35" s="154" t="str">
        <f>IF(H7="","",IF(G8&lt;0,0,(G7-H7)*Asset_Model!$D$68))</f>
        <v/>
      </c>
      <c r="H35" s="154" t="str">
        <f>IF(I7="","",IF(H8&lt;0,0,(H7-I7)*Asset_Model!$D$68))</f>
        <v/>
      </c>
      <c r="I35" s="154" t="str">
        <f>IF(J7="","",IF(I8&lt;0,0,(I7-J7)*Asset_Model!$D$68))</f>
        <v/>
      </c>
      <c r="J35" s="154" t="str">
        <f>IF(K7="","",IF(J8&lt;0,0,(J7-K7)*Asset_Model!$D$68))</f>
        <v/>
      </c>
      <c r="K35" s="154" t="str">
        <f>IF(L7="","",IF(K8&lt;0,0,(K7-L7)*Asset_Model!$D$68))</f>
        <v/>
      </c>
      <c r="L35" s="154" t="str">
        <f>IF(M7="","",IF(L8&lt;0,0,(L7-M7)*Asset_Model!$D$68))</f>
        <v/>
      </c>
      <c r="M35" s="154" t="str">
        <f>IF(N7="","",IF(M8&lt;0,0,(M7-N7)*Asset_Model!$D$68))</f>
        <v/>
      </c>
      <c r="N35" s="6"/>
    </row>
    <row r="36" spans="1:14" ht="15.75" customHeight="1">
      <c r="A36" s="9"/>
      <c r="B36" s="155" t="s">
        <v>68</v>
      </c>
      <c r="C36" s="51">
        <f t="shared" ref="C36:M36" si="11">IF(D7="","",C33+C35)</f>
        <v>2199356.9321999997</v>
      </c>
      <c r="D36" s="51">
        <f t="shared" si="11"/>
        <v>1348061.8440999999</v>
      </c>
      <c r="E36" s="51">
        <f t="shared" si="11"/>
        <v>382761.75439999998</v>
      </c>
      <c r="F36" s="51" t="str">
        <f t="shared" si="11"/>
        <v/>
      </c>
      <c r="G36" s="51" t="str">
        <f t="shared" si="11"/>
        <v/>
      </c>
      <c r="H36" s="51" t="str">
        <f t="shared" si="11"/>
        <v/>
      </c>
      <c r="I36" s="51" t="str">
        <f t="shared" si="11"/>
        <v/>
      </c>
      <c r="J36" s="51" t="str">
        <f t="shared" si="11"/>
        <v/>
      </c>
      <c r="K36" s="51" t="str">
        <f t="shared" si="11"/>
        <v/>
      </c>
      <c r="L36" s="51" t="str">
        <f t="shared" si="11"/>
        <v/>
      </c>
      <c r="M36" s="51" t="str">
        <f t="shared" si="11"/>
        <v/>
      </c>
      <c r="N36" s="6"/>
    </row>
    <row r="37" spans="1:14" ht="15.75" customHeight="1">
      <c r="A37" s="9"/>
      <c r="B37" s="155" t="s">
        <v>345</v>
      </c>
      <c r="C37" s="149">
        <f>IF(C36="","",C33/C7)</f>
        <v>0.10967733692234388</v>
      </c>
      <c r="D37" s="149">
        <f t="shared" ref="D37:M37" si="12">IF(D36="","",D33/D7)</f>
        <v>3.1920628001524433E-2</v>
      </c>
      <c r="E37" s="149">
        <f t="shared" si="12"/>
        <v>1.237045810898992E-2</v>
      </c>
      <c r="F37" s="149" t="str">
        <f t="shared" si="12"/>
        <v/>
      </c>
      <c r="G37" s="149" t="str">
        <f t="shared" si="12"/>
        <v/>
      </c>
      <c r="H37" s="149" t="str">
        <f t="shared" si="12"/>
        <v/>
      </c>
      <c r="I37" s="149" t="str">
        <f t="shared" si="12"/>
        <v/>
      </c>
      <c r="J37" s="149" t="str">
        <f t="shared" si="12"/>
        <v/>
      </c>
      <c r="K37" s="149" t="str">
        <f t="shared" si="12"/>
        <v/>
      </c>
      <c r="L37" s="149" t="str">
        <f t="shared" si="12"/>
        <v/>
      </c>
      <c r="M37" s="149" t="str">
        <f t="shared" si="12"/>
        <v/>
      </c>
      <c r="N37" s="6"/>
    </row>
    <row r="38" spans="1:14" ht="15.75" customHeight="1">
      <c r="A38" s="9"/>
      <c r="B38" s="157" t="s">
        <v>348</v>
      </c>
      <c r="C38" s="158">
        <f t="shared" ref="C38:M38" si="13">IF(C36="","",C33/C16)</f>
        <v>11.086756699427278</v>
      </c>
      <c r="D38" s="158">
        <f t="shared" si="13"/>
        <v>8.722213394071014</v>
      </c>
      <c r="E38" s="158">
        <f t="shared" si="13"/>
        <v>0.79726083954413762</v>
      </c>
      <c r="F38" s="158" t="str">
        <f t="shared" si="13"/>
        <v/>
      </c>
      <c r="G38" s="158" t="str">
        <f t="shared" si="13"/>
        <v/>
      </c>
      <c r="H38" s="158" t="str">
        <f t="shared" si="13"/>
        <v/>
      </c>
      <c r="I38" s="158" t="str">
        <f t="shared" si="13"/>
        <v/>
      </c>
      <c r="J38" s="158" t="str">
        <f t="shared" si="13"/>
        <v/>
      </c>
      <c r="K38" s="158" t="str">
        <f t="shared" si="13"/>
        <v/>
      </c>
      <c r="L38" s="158" t="str">
        <f t="shared" si="13"/>
        <v/>
      </c>
      <c r="M38" s="158" t="str">
        <f t="shared" si="13"/>
        <v/>
      </c>
      <c r="N38" s="6"/>
    </row>
    <row r="39" spans="1:14" ht="15.75" customHeight="1">
      <c r="A39" s="9"/>
      <c r="B39" s="30" t="s">
        <v>61</v>
      </c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</row>
    <row r="40" spans="1:14" ht="15.75" customHeight="1">
      <c r="A40" s="9"/>
      <c r="B40" s="159" t="s">
        <v>214</v>
      </c>
      <c r="C40" s="163">
        <v>182000</v>
      </c>
      <c r="D40" s="163">
        <v>36302</v>
      </c>
      <c r="E40" s="163">
        <v>37000</v>
      </c>
      <c r="F40" s="163">
        <v>7352</v>
      </c>
      <c r="G40" s="163"/>
      <c r="H40" s="163"/>
      <c r="I40" s="163"/>
      <c r="J40" s="163"/>
      <c r="K40" s="163"/>
      <c r="L40" s="163"/>
      <c r="M40" s="163"/>
      <c r="N40" s="6"/>
    </row>
    <row r="41" spans="1:14" ht="15.75" customHeight="1">
      <c r="A41" s="9"/>
      <c r="B41" s="155" t="s">
        <v>62</v>
      </c>
      <c r="C41" s="161">
        <v>0</v>
      </c>
      <c r="D41" s="161">
        <v>0</v>
      </c>
      <c r="E41" s="161">
        <v>0</v>
      </c>
      <c r="F41" s="161">
        <v>0</v>
      </c>
      <c r="G41" s="161"/>
      <c r="H41" s="161"/>
      <c r="I41" s="161"/>
      <c r="J41" s="161"/>
      <c r="K41" s="161"/>
      <c r="L41" s="161"/>
      <c r="M41" s="161"/>
      <c r="N41" s="6"/>
    </row>
    <row r="42" spans="1:14" ht="15.75" customHeight="1">
      <c r="A42" s="9"/>
      <c r="B42" s="155" t="s">
        <v>179</v>
      </c>
      <c r="C42" s="162">
        <f t="shared" ref="C42:M42" si="14">IF(C40="","",C40*$C$4/Common_Shares)</f>
        <v>0.22992136628634405</v>
      </c>
      <c r="D42" s="162">
        <f t="shared" si="14"/>
        <v>4.5860469444653086E-2</v>
      </c>
      <c r="E42" s="162">
        <f t="shared" si="14"/>
        <v>4.6742255783487528E-2</v>
      </c>
      <c r="F42" s="162">
        <f t="shared" si="14"/>
        <v>9.2878125546000077E-3</v>
      </c>
      <c r="G42" s="162" t="str">
        <f t="shared" si="14"/>
        <v/>
      </c>
      <c r="H42" s="162" t="str">
        <f t="shared" si="14"/>
        <v/>
      </c>
      <c r="I42" s="162" t="str">
        <f t="shared" si="14"/>
        <v/>
      </c>
      <c r="J42" s="162" t="str">
        <f t="shared" si="14"/>
        <v/>
      </c>
      <c r="K42" s="162" t="str">
        <f t="shared" si="14"/>
        <v/>
      </c>
      <c r="L42" s="162" t="str">
        <f t="shared" si="14"/>
        <v/>
      </c>
      <c r="M42" s="162" t="str">
        <f t="shared" si="14"/>
        <v/>
      </c>
      <c r="N42" s="6"/>
    </row>
    <row r="43" spans="1:14" ht="15.75" customHeight="1">
      <c r="A43" s="9"/>
      <c r="B43" s="157" t="s">
        <v>180</v>
      </c>
      <c r="C43" s="164">
        <f t="shared" ref="C43:M43" si="15">IF(C41="","",C41*$C$4/Common_Shares)</f>
        <v>0</v>
      </c>
      <c r="D43" s="164">
        <f t="shared" si="15"/>
        <v>0</v>
      </c>
      <c r="E43" s="164">
        <f t="shared" si="15"/>
        <v>0</v>
      </c>
      <c r="F43" s="164">
        <f t="shared" si="15"/>
        <v>0</v>
      </c>
      <c r="G43" s="164" t="str">
        <f t="shared" si="15"/>
        <v/>
      </c>
      <c r="H43" s="164" t="str">
        <f t="shared" si="15"/>
        <v/>
      </c>
      <c r="I43" s="164" t="str">
        <f t="shared" si="15"/>
        <v/>
      </c>
      <c r="J43" s="164" t="str">
        <f t="shared" si="15"/>
        <v/>
      </c>
      <c r="K43" s="164" t="str">
        <f t="shared" si="15"/>
        <v/>
      </c>
      <c r="L43" s="164" t="str">
        <f t="shared" si="15"/>
        <v/>
      </c>
      <c r="M43" s="164" t="str">
        <f t="shared" si="15"/>
        <v/>
      </c>
      <c r="N43" s="6"/>
    </row>
    <row r="44" spans="1:14" ht="15.75" customHeight="1">
      <c r="A44" s="9"/>
      <c r="B44" s="55" t="s">
        <v>63</v>
      </c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</row>
    <row r="45" spans="1:14" ht="15.75" customHeight="1">
      <c r="A45" s="9"/>
      <c r="B45" s="159" t="s">
        <v>363</v>
      </c>
      <c r="C45" s="166">
        <f>IF(C30="","",(C21-C30)/C21)</f>
        <v>0.50927816880153565</v>
      </c>
      <c r="D45" s="166">
        <f>IF(D30="","",(D21-D30)/D21)</f>
        <v>0.45294348137634027</v>
      </c>
      <c r="E45" s="166">
        <f t="shared" ref="E45:M45" si="16">IF(E30="","",(E21-E30)/E21)</f>
        <v>0.2924149794325504</v>
      </c>
      <c r="F45" s="166">
        <f t="shared" si="16"/>
        <v>0.22125576217837301</v>
      </c>
      <c r="G45" s="166" t="str">
        <f t="shared" si="16"/>
        <v/>
      </c>
      <c r="H45" s="166" t="str">
        <f t="shared" si="16"/>
        <v/>
      </c>
      <c r="I45" s="166" t="str">
        <f t="shared" si="16"/>
        <v/>
      </c>
      <c r="J45" s="166" t="str">
        <f t="shared" si="16"/>
        <v/>
      </c>
      <c r="K45" s="166" t="str">
        <f t="shared" si="16"/>
        <v/>
      </c>
      <c r="L45" s="166" t="str">
        <f t="shared" si="16"/>
        <v/>
      </c>
      <c r="M45" s="166" t="str">
        <f t="shared" si="16"/>
        <v/>
      </c>
      <c r="N45" s="6"/>
    </row>
    <row r="46" spans="1:14" ht="15.75" customHeight="1">
      <c r="A46" s="9"/>
      <c r="B46" s="155" t="s">
        <v>375</v>
      </c>
      <c r="C46" s="149">
        <f t="shared" ref="C46:M46" si="17">IF(C30="","",C28/C30)</f>
        <v>0.16704660469240273</v>
      </c>
      <c r="D46" s="149">
        <f t="shared" si="17"/>
        <v>7.4379440342115747E-3</v>
      </c>
      <c r="E46" s="149">
        <f t="shared" si="17"/>
        <v>7.1695420113242524E-3</v>
      </c>
      <c r="F46" s="149">
        <f t="shared" si="17"/>
        <v>3.5919438402142881E-3</v>
      </c>
      <c r="G46" s="149" t="str">
        <f t="shared" si="17"/>
        <v/>
      </c>
      <c r="H46" s="149" t="str">
        <f t="shared" si="17"/>
        <v/>
      </c>
      <c r="I46" s="149" t="str">
        <f t="shared" si="17"/>
        <v/>
      </c>
      <c r="J46" s="149" t="str">
        <f t="shared" si="17"/>
        <v/>
      </c>
      <c r="K46" s="149" t="str">
        <f t="shared" si="17"/>
        <v/>
      </c>
      <c r="L46" s="149" t="str">
        <f t="shared" si="17"/>
        <v/>
      </c>
      <c r="M46" s="149" t="str">
        <f t="shared" si="17"/>
        <v/>
      </c>
      <c r="N46" s="6"/>
    </row>
    <row r="47" spans="1:14" ht="15.75" customHeight="1">
      <c r="A47" s="9"/>
      <c r="B47" s="155" t="s">
        <v>64</v>
      </c>
      <c r="C47" s="165">
        <f t="shared" ref="C47:M47" si="18">IF(C14="","",IF(C28&lt;=0,"-",C14/C28))</f>
        <v>0.20829344589201082</v>
      </c>
      <c r="D47" s="165">
        <f t="shared" si="18"/>
        <v>1.6740412325426735</v>
      </c>
      <c r="E47" s="165">
        <f t="shared" si="18"/>
        <v>4.8203201399969116</v>
      </c>
      <c r="F47" s="165">
        <f t="shared" si="18"/>
        <v>8.841647273095214</v>
      </c>
      <c r="G47" s="165" t="str">
        <f t="shared" si="18"/>
        <v/>
      </c>
      <c r="H47" s="165" t="str">
        <f t="shared" si="18"/>
        <v/>
      </c>
      <c r="I47" s="165" t="str">
        <f t="shared" si="18"/>
        <v/>
      </c>
      <c r="J47" s="165" t="str">
        <f t="shared" si="18"/>
        <v/>
      </c>
      <c r="K47" s="165" t="str">
        <f t="shared" si="18"/>
        <v/>
      </c>
      <c r="L47" s="165" t="str">
        <f t="shared" si="18"/>
        <v/>
      </c>
      <c r="M47" s="165" t="str">
        <f t="shared" si="18"/>
        <v/>
      </c>
      <c r="N47" s="6"/>
    </row>
    <row r="48" spans="1:14" ht="15.75" customHeight="1">
      <c r="A48" s="9"/>
      <c r="B48" s="155" t="s">
        <v>65</v>
      </c>
      <c r="C48" s="149">
        <f>IF(C14="","",IF(C18&lt;=0,"-",C18/C14))</f>
        <v>8.7400127271441697E-2</v>
      </c>
      <c r="D48" s="149">
        <f>IF(D14="","",IF(D18&lt;=0,"-",D18/D14))</f>
        <v>2.4233275067535358E-2</v>
      </c>
      <c r="E48" s="149">
        <f t="shared" ref="E48:M48" si="19">IF(E14="","",IF(E18&lt;=0,"-",E18/E14))</f>
        <v>6.1716531061139944E-3</v>
      </c>
      <c r="F48" s="149">
        <f t="shared" si="19"/>
        <v>6.1568744134947702E-3</v>
      </c>
      <c r="G48" s="149" t="str">
        <f t="shared" si="19"/>
        <v/>
      </c>
      <c r="H48" s="149" t="str">
        <f t="shared" si="19"/>
        <v/>
      </c>
      <c r="I48" s="149" t="str">
        <f t="shared" si="19"/>
        <v/>
      </c>
      <c r="J48" s="149" t="str">
        <f t="shared" si="19"/>
        <v/>
      </c>
      <c r="K48" s="149" t="str">
        <f t="shared" si="19"/>
        <v/>
      </c>
      <c r="L48" s="149" t="str">
        <f t="shared" si="19"/>
        <v/>
      </c>
      <c r="M48" s="149" t="str">
        <f t="shared" si="19"/>
        <v/>
      </c>
      <c r="N48" s="6"/>
    </row>
    <row r="49" spans="1:14" ht="15.75" customHeight="1">
      <c r="A49" s="9"/>
      <c r="B49" s="157" t="s">
        <v>66</v>
      </c>
      <c r="C49" s="167">
        <f t="shared" ref="C49:M49" si="20">IF(C22="","",C22/C23)</f>
        <v>1.6111051942117289</v>
      </c>
      <c r="D49" s="167">
        <f t="shared" si="20"/>
        <v>2.238499704573643</v>
      </c>
      <c r="E49" s="167">
        <f t="shared" si="20"/>
        <v>3.188299242599534</v>
      </c>
      <c r="F49" s="167">
        <f t="shared" si="20"/>
        <v>3.9049431255597491</v>
      </c>
      <c r="G49" s="167" t="str">
        <f t="shared" si="20"/>
        <v/>
      </c>
      <c r="H49" s="167" t="str">
        <f t="shared" si="20"/>
        <v/>
      </c>
      <c r="I49" s="167" t="str">
        <f t="shared" si="20"/>
        <v/>
      </c>
      <c r="J49" s="167" t="str">
        <f t="shared" si="20"/>
        <v/>
      </c>
      <c r="K49" s="167" t="str">
        <f t="shared" si="20"/>
        <v/>
      </c>
      <c r="L49" s="167" t="str">
        <f t="shared" si="20"/>
        <v/>
      </c>
      <c r="M49" s="167" t="str">
        <f t="shared" si="20"/>
        <v/>
      </c>
      <c r="N49" s="6"/>
    </row>
    <row r="50" spans="1:14" ht="15.75" customHeight="1">
      <c r="A50" s="9"/>
      <c r="B50" s="140" t="s">
        <v>293</v>
      </c>
      <c r="C50" s="139"/>
      <c r="D50" s="139"/>
      <c r="E50" s="139"/>
      <c r="F50" s="139"/>
      <c r="G50" s="139"/>
      <c r="H50" s="139"/>
      <c r="I50" s="139"/>
      <c r="J50" s="139"/>
      <c r="K50" s="139"/>
      <c r="L50" s="139"/>
      <c r="M50" s="139"/>
      <c r="N50" s="6"/>
    </row>
    <row r="51" spans="1:14" ht="15.75" customHeight="1">
      <c r="A51" s="9"/>
      <c r="B51" s="159" t="s">
        <v>294</v>
      </c>
      <c r="C51" s="166">
        <f t="shared" ref="C51:M51" si="21">C13</f>
        <v>1.319019197357746E-2</v>
      </c>
      <c r="D51" s="166">
        <f t="shared" si="21"/>
        <v>4.8795913849455858E-3</v>
      </c>
      <c r="E51" s="166">
        <f t="shared" si="21"/>
        <v>2.068826578105968E-2</v>
      </c>
      <c r="F51" s="166">
        <f t="shared" si="21"/>
        <v>2.4449506963948854E-2</v>
      </c>
      <c r="G51" s="166" t="str">
        <f t="shared" si="21"/>
        <v/>
      </c>
      <c r="H51" s="166" t="str">
        <f t="shared" si="21"/>
        <v/>
      </c>
      <c r="I51" s="166" t="str">
        <f t="shared" si="21"/>
        <v/>
      </c>
      <c r="J51" s="166" t="str">
        <f t="shared" si="21"/>
        <v/>
      </c>
      <c r="K51" s="166" t="str">
        <f t="shared" si="21"/>
        <v/>
      </c>
      <c r="L51" s="166" t="str">
        <f t="shared" si="21"/>
        <v/>
      </c>
      <c r="M51" s="166" t="str">
        <f t="shared" si="21"/>
        <v/>
      </c>
      <c r="N51" s="6"/>
    </row>
    <row r="52" spans="1:14" ht="15.75" customHeight="1">
      <c r="A52" s="9"/>
      <c r="B52" s="155" t="s">
        <v>295</v>
      </c>
      <c r="C52" s="149">
        <f>C7/C21</f>
        <v>1.2944864845287392</v>
      </c>
      <c r="D52" s="149">
        <f>IF(D7="","",D7/D21)</f>
        <v>1.395943363753986</v>
      </c>
      <c r="E52" s="149">
        <f t="shared" ref="E52:M52" si="22">IF(E7="","",E7/E21)</f>
        <v>1.182011876220352</v>
      </c>
      <c r="F52" s="149">
        <f t="shared" si="22"/>
        <v>1.0115502541769159</v>
      </c>
      <c r="G52" s="149" t="str">
        <f t="shared" si="22"/>
        <v/>
      </c>
      <c r="H52" s="149" t="str">
        <f t="shared" si="22"/>
        <v/>
      </c>
      <c r="I52" s="149" t="str">
        <f t="shared" si="22"/>
        <v/>
      </c>
      <c r="J52" s="149" t="str">
        <f t="shared" si="22"/>
        <v/>
      </c>
      <c r="K52" s="149" t="str">
        <f t="shared" si="22"/>
        <v/>
      </c>
      <c r="L52" s="149" t="str">
        <f t="shared" si="22"/>
        <v/>
      </c>
      <c r="M52" s="149" t="str">
        <f t="shared" si="22"/>
        <v/>
      </c>
      <c r="N52" s="6"/>
    </row>
    <row r="53" spans="1:14" ht="15.75" customHeight="1">
      <c r="A53" s="9"/>
      <c r="B53" s="155" t="s">
        <v>383</v>
      </c>
      <c r="C53" s="168">
        <f>C21/C29</f>
        <v>2.0125259580642565</v>
      </c>
      <c r="D53" s="168">
        <f>IF(D29="","",D21/D29)</f>
        <v>1.6568396039603961</v>
      </c>
      <c r="E53" s="168">
        <f t="shared" ref="E53:M53" si="23">IF(E29="","",E21/E29)</f>
        <v>1.3840350049184107</v>
      </c>
      <c r="F53" s="168">
        <f t="shared" si="23"/>
        <v>1.284118650813121</v>
      </c>
      <c r="G53" s="168" t="str">
        <f t="shared" si="23"/>
        <v/>
      </c>
      <c r="H53" s="168" t="str">
        <f t="shared" si="23"/>
        <v/>
      </c>
      <c r="I53" s="168" t="str">
        <f t="shared" si="23"/>
        <v/>
      </c>
      <c r="J53" s="168" t="str">
        <f t="shared" si="23"/>
        <v/>
      </c>
      <c r="K53" s="168" t="str">
        <f t="shared" si="23"/>
        <v/>
      </c>
      <c r="L53" s="168" t="str">
        <f t="shared" si="23"/>
        <v/>
      </c>
      <c r="M53" s="168" t="str">
        <f t="shared" si="23"/>
        <v/>
      </c>
      <c r="N53" s="6"/>
    </row>
    <row r="54" spans="1:14" ht="15.75" customHeight="1">
      <c r="A54" s="9"/>
      <c r="B54" s="155" t="s">
        <v>382</v>
      </c>
      <c r="C54" s="149">
        <f>C51*C52*C53</f>
        <v>3.4362925263370932E-2</v>
      </c>
      <c r="D54" s="149">
        <f>IF(D51="","",D51*D52*D53)</f>
        <v>1.1285783672706894E-2</v>
      </c>
      <c r="E54" s="149">
        <f t="shared" ref="E54:M54" si="24">IF(E51="","",E51*E52*E53)</f>
        <v>3.3844881781064588E-2</v>
      </c>
      <c r="F54" s="149">
        <f t="shared" si="24"/>
        <v>3.1758700459941808E-2</v>
      </c>
      <c r="G54" s="149" t="str">
        <f t="shared" si="24"/>
        <v/>
      </c>
      <c r="H54" s="149" t="str">
        <f t="shared" si="24"/>
        <v/>
      </c>
      <c r="I54" s="149" t="str">
        <f t="shared" si="24"/>
        <v/>
      </c>
      <c r="J54" s="149" t="str">
        <f t="shared" si="24"/>
        <v/>
      </c>
      <c r="K54" s="149" t="str">
        <f t="shared" si="24"/>
        <v/>
      </c>
      <c r="L54" s="149" t="str">
        <f t="shared" si="24"/>
        <v/>
      </c>
      <c r="M54" s="149" t="str">
        <f t="shared" si="24"/>
        <v/>
      </c>
      <c r="N54" s="6"/>
    </row>
    <row r="55" spans="1:14" ht="15.75" customHeight="1">
      <c r="A55" s="9"/>
      <c r="B55" s="169" t="s">
        <v>296</v>
      </c>
      <c r="C55" s="158">
        <f>C38*C54</f>
        <v>0.38097339187559653</v>
      </c>
      <c r="D55" s="158">
        <f>IF(D38="","",D38*D54)</f>
        <v>9.8437013512672034E-2</v>
      </c>
      <c r="E55" s="158">
        <f t="shared" ref="E55:M55" si="25">IF(E38="","",E38*E54)</f>
        <v>2.698319886304364E-2</v>
      </c>
      <c r="F55" s="158" t="str">
        <f t="shared" si="25"/>
        <v/>
      </c>
      <c r="G55" s="158" t="str">
        <f t="shared" si="25"/>
        <v/>
      </c>
      <c r="H55" s="158" t="str">
        <f t="shared" si="25"/>
        <v/>
      </c>
      <c r="I55" s="158" t="str">
        <f t="shared" si="25"/>
        <v/>
      </c>
      <c r="J55" s="158" t="str">
        <f t="shared" si="25"/>
        <v/>
      </c>
      <c r="K55" s="158" t="str">
        <f t="shared" si="25"/>
        <v/>
      </c>
      <c r="L55" s="158" t="str">
        <f t="shared" si="25"/>
        <v/>
      </c>
      <c r="M55" s="158" t="str">
        <f t="shared" si="25"/>
        <v/>
      </c>
      <c r="N55" s="6"/>
    </row>
    <row r="56" spans="1:14" ht="15.75" customHeight="1">
      <c r="A56" s="9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</row>
    <row r="57" spans="1:14" ht="15.75" customHeight="1">
      <c r="A57" s="9"/>
      <c r="B57" s="17" t="s">
        <v>343</v>
      </c>
      <c r="C57" s="31"/>
      <c r="D57" s="31"/>
      <c r="E57" s="31"/>
      <c r="F57" s="31"/>
    </row>
    <row r="58" spans="1:14" ht="15" customHeight="1">
      <c r="A58" s="9"/>
      <c r="B58" s="5" t="s">
        <v>67</v>
      </c>
      <c r="C58" s="175" t="s">
        <v>325</v>
      </c>
      <c r="D58" s="6"/>
      <c r="F58" s="6"/>
      <c r="G58" s="6"/>
      <c r="H58" s="6"/>
      <c r="I58" s="6"/>
      <c r="J58" s="6"/>
      <c r="K58" s="6"/>
      <c r="L58" s="6"/>
      <c r="M58" s="6"/>
    </row>
    <row r="59" spans="1:14" ht="15" customHeight="1">
      <c r="A59" s="9"/>
      <c r="B59" s="5"/>
      <c r="C59" s="126"/>
      <c r="D59" s="6"/>
      <c r="E59" s="126"/>
      <c r="F59" s="6"/>
      <c r="G59" s="6"/>
      <c r="H59" s="6"/>
      <c r="I59" s="6"/>
      <c r="J59" s="6"/>
      <c r="K59" s="6"/>
      <c r="L59" s="6"/>
      <c r="M59" s="6"/>
    </row>
    <row r="60" spans="1:14" ht="15.75" customHeight="1">
      <c r="A60" s="9"/>
      <c r="B60" s="174" t="s">
        <v>246</v>
      </c>
      <c r="C60" s="163">
        <v>0</v>
      </c>
      <c r="D60" s="163">
        <v>0</v>
      </c>
      <c r="E60" s="163">
        <v>0</v>
      </c>
      <c r="F60" s="163"/>
      <c r="G60" s="163"/>
      <c r="H60" s="163"/>
      <c r="I60" s="163"/>
      <c r="J60" s="163"/>
      <c r="K60" s="163"/>
      <c r="L60" s="163"/>
      <c r="M60" s="163"/>
    </row>
    <row r="61" spans="1:14" ht="15.75" customHeight="1">
      <c r="A61" s="9"/>
      <c r="B61" s="172" t="s">
        <v>247</v>
      </c>
      <c r="C61" s="173">
        <f t="shared" ref="C61:M61" si="26">IF(C60="","",C60/C7)</f>
        <v>0</v>
      </c>
      <c r="D61" s="173">
        <f t="shared" si="26"/>
        <v>0</v>
      </c>
      <c r="E61" s="173">
        <f t="shared" si="26"/>
        <v>0</v>
      </c>
      <c r="F61" s="173" t="str">
        <f t="shared" si="26"/>
        <v/>
      </c>
      <c r="G61" s="173" t="str">
        <f t="shared" si="26"/>
        <v/>
      </c>
      <c r="H61" s="173" t="str">
        <f t="shared" si="26"/>
        <v/>
      </c>
      <c r="I61" s="173" t="str">
        <f t="shared" si="26"/>
        <v/>
      </c>
      <c r="J61" s="173" t="str">
        <f t="shared" si="26"/>
        <v/>
      </c>
      <c r="K61" s="173" t="str">
        <f t="shared" si="26"/>
        <v/>
      </c>
      <c r="L61" s="173" t="str">
        <f t="shared" si="26"/>
        <v/>
      </c>
      <c r="M61" s="173" t="str">
        <f t="shared" si="26"/>
        <v/>
      </c>
    </row>
    <row r="62" spans="1:14" ht="15.75" customHeight="1">
      <c r="A62" s="9"/>
      <c r="B62" s="1"/>
      <c r="C62" s="35"/>
      <c r="D62" s="35"/>
    </row>
    <row r="63" spans="1:14" ht="15.75" customHeight="1">
      <c r="A63" s="9"/>
      <c r="B63" s="32"/>
      <c r="C63" s="35"/>
      <c r="D63" s="35"/>
    </row>
    <row r="64" spans="1:14" ht="15.75" customHeight="1">
      <c r="A64" s="9"/>
      <c r="B64" s="32"/>
      <c r="C64" s="36"/>
      <c r="D64" s="36"/>
    </row>
    <row r="65" spans="1:4" ht="15.75" customHeight="1">
      <c r="A65" s="9"/>
      <c r="B65" s="32"/>
      <c r="C65" s="35"/>
      <c r="D65" s="35"/>
    </row>
    <row r="66" spans="1:4" ht="15.75" customHeight="1">
      <c r="A66" s="9"/>
      <c r="B66" s="32"/>
      <c r="C66" s="36"/>
      <c r="D66" s="36"/>
    </row>
    <row r="67" spans="1:4" ht="15.75" customHeight="1">
      <c r="A67" s="9"/>
    </row>
    <row r="68" spans="1:4" ht="15.75" customHeight="1">
      <c r="A68" s="9"/>
    </row>
    <row r="69" spans="1:4" ht="15.75" customHeight="1">
      <c r="A69" s="9"/>
    </row>
    <row r="70" spans="1:4" ht="15.75" customHeight="1">
      <c r="A70" s="9"/>
    </row>
    <row r="71" spans="1:4" ht="15.75" customHeight="1">
      <c r="A71" s="9"/>
    </row>
    <row r="72" spans="1:4" ht="15.75" customHeight="1">
      <c r="A72" s="9"/>
    </row>
    <row r="73" spans="1:4" ht="15.75" customHeight="1">
      <c r="A73" s="9"/>
    </row>
    <row r="74" spans="1:4" ht="15.75" customHeight="1">
      <c r="A74" s="9"/>
    </row>
    <row r="75" spans="1:4" ht="15.75" customHeight="1">
      <c r="A75" s="9"/>
    </row>
    <row r="76" spans="1:4" ht="15.75" customHeight="1">
      <c r="A76" s="9"/>
    </row>
    <row r="77" spans="1:4" ht="15.75" customHeight="1">
      <c r="A77" s="9"/>
    </row>
    <row r="78" spans="1:4" ht="15.75" customHeight="1">
      <c r="A78" s="9"/>
    </row>
    <row r="79" spans="1:4" ht="15.75" customHeight="1">
      <c r="A79" s="9"/>
    </row>
    <row r="80" spans="1:4" ht="15.75" customHeight="1">
      <c r="A80" s="9"/>
    </row>
    <row r="81" spans="1:1" ht="15.75" customHeight="1">
      <c r="A81" s="9"/>
    </row>
    <row r="82" spans="1:1" ht="15.75" customHeight="1">
      <c r="A82" s="9"/>
    </row>
    <row r="83" spans="1:1" ht="15.75" customHeight="1">
      <c r="A83" s="9"/>
    </row>
    <row r="84" spans="1:1" ht="15.75" customHeight="1">
      <c r="A84" s="9"/>
    </row>
    <row r="85" spans="1:1" ht="15.75" customHeight="1">
      <c r="A85" s="9"/>
    </row>
    <row r="86" spans="1:1" ht="15.75" customHeight="1">
      <c r="A86" s="9"/>
    </row>
    <row r="87" spans="1:1" ht="15.75" customHeight="1">
      <c r="A87" s="9"/>
    </row>
    <row r="88" spans="1:1" ht="15.75" customHeight="1">
      <c r="A88" s="9"/>
    </row>
    <row r="89" spans="1:1" ht="15.75" customHeight="1">
      <c r="A89" s="9"/>
    </row>
    <row r="90" spans="1:1" ht="15.75" customHeight="1">
      <c r="A90" s="9"/>
    </row>
    <row r="91" spans="1:1" ht="15.75" customHeight="1">
      <c r="A91" s="9"/>
    </row>
    <row r="92" spans="1:1" ht="15.75" customHeight="1">
      <c r="A92" s="9"/>
    </row>
    <row r="93" spans="1:1" ht="15.75" customHeight="1">
      <c r="A93" s="9"/>
    </row>
    <row r="94" spans="1:1" ht="15.75" customHeight="1">
      <c r="A94" s="9"/>
    </row>
    <row r="95" spans="1:1" ht="15.75" customHeight="1">
      <c r="A95" s="9"/>
    </row>
    <row r="96" spans="1:1" ht="15.75" customHeight="1">
      <c r="A96" s="9"/>
    </row>
    <row r="97" spans="1:1" ht="15.75" customHeight="1">
      <c r="A97" s="9"/>
    </row>
    <row r="98" spans="1:1" ht="15.75" customHeight="1">
      <c r="A98" s="9"/>
    </row>
    <row r="99" spans="1:1" ht="15.75" customHeight="1">
      <c r="A99" s="9"/>
    </row>
    <row r="100" spans="1:1" ht="15.75" customHeight="1">
      <c r="A100" s="9"/>
    </row>
    <row r="101" spans="1:1" ht="15.75" customHeight="1">
      <c r="A101" s="9"/>
    </row>
    <row r="102" spans="1:1" ht="15.75" customHeight="1">
      <c r="A102" s="9"/>
    </row>
    <row r="103" spans="1:1" ht="15.75" customHeight="1">
      <c r="A103" s="9"/>
    </row>
    <row r="104" spans="1:1" ht="15.75" customHeight="1">
      <c r="A104" s="9"/>
    </row>
    <row r="105" spans="1:1" ht="15.75" customHeight="1">
      <c r="A105" s="9"/>
    </row>
    <row r="106" spans="1:1" ht="15.75" customHeight="1">
      <c r="A106" s="9"/>
    </row>
    <row r="107" spans="1:1" ht="15.75" customHeight="1">
      <c r="A107" s="9"/>
    </row>
    <row r="108" spans="1:1" ht="15.75" customHeight="1">
      <c r="A108" s="9"/>
    </row>
    <row r="109" spans="1:1" ht="15.75" customHeight="1">
      <c r="A109" s="9"/>
    </row>
    <row r="110" spans="1:1" ht="15.75" customHeight="1">
      <c r="A110" s="9"/>
    </row>
    <row r="111" spans="1:1" ht="15.75" customHeight="1">
      <c r="A111" s="9"/>
    </row>
    <row r="112" spans="1:1" ht="15.75" customHeight="1">
      <c r="A112" s="9"/>
    </row>
    <row r="113" spans="1:1" ht="15.75" customHeight="1">
      <c r="A113" s="9"/>
    </row>
    <row r="114" spans="1:1" ht="15.75" customHeight="1">
      <c r="A114" s="9"/>
    </row>
    <row r="115" spans="1:1" ht="15.75" customHeight="1">
      <c r="A115" s="9"/>
    </row>
    <row r="116" spans="1:1" ht="15.75" customHeight="1">
      <c r="A116" s="9"/>
    </row>
    <row r="117" spans="1:1" ht="15.75" customHeight="1">
      <c r="A117" s="9"/>
    </row>
    <row r="118" spans="1:1" ht="15.75" customHeight="1">
      <c r="A118" s="9"/>
    </row>
    <row r="119" spans="1:1" ht="15.75" customHeight="1">
      <c r="A119" s="9"/>
    </row>
    <row r="120" spans="1:1" ht="15.75" customHeight="1">
      <c r="A120" s="9"/>
    </row>
    <row r="121" spans="1:1" ht="15.75" customHeight="1">
      <c r="A121" s="9"/>
    </row>
    <row r="122" spans="1:1" ht="15.75" customHeight="1">
      <c r="A122" s="9"/>
    </row>
    <row r="123" spans="1:1" ht="15.75" customHeight="1">
      <c r="A123" s="9"/>
    </row>
    <row r="124" spans="1:1" ht="15.75" customHeight="1">
      <c r="A124" s="9"/>
    </row>
    <row r="125" spans="1:1" ht="15.75" customHeight="1">
      <c r="A125" s="9"/>
    </row>
    <row r="126" spans="1:1" ht="15.75" customHeight="1">
      <c r="A126" s="9"/>
    </row>
    <row r="127" spans="1:1" ht="15.75" customHeight="1">
      <c r="A127" s="9"/>
    </row>
    <row r="128" spans="1:1" ht="15.75" customHeight="1">
      <c r="A128" s="9"/>
    </row>
    <row r="129" spans="1:1" ht="15.75" customHeight="1">
      <c r="A129" s="9"/>
    </row>
    <row r="130" spans="1:1" ht="15.75" customHeight="1">
      <c r="A130" s="9"/>
    </row>
    <row r="131" spans="1:1" ht="15.75" customHeight="1">
      <c r="A131" s="9"/>
    </row>
    <row r="132" spans="1:1" ht="15.75" customHeight="1">
      <c r="A132" s="9"/>
    </row>
    <row r="133" spans="1:1" ht="15.75" customHeight="1">
      <c r="A133" s="9"/>
    </row>
    <row r="134" spans="1:1" ht="15.75" customHeight="1">
      <c r="A134" s="9"/>
    </row>
    <row r="135" spans="1:1" ht="15.75" customHeight="1">
      <c r="A135" s="9"/>
    </row>
    <row r="136" spans="1:1" ht="15.75" customHeight="1">
      <c r="A136" s="9"/>
    </row>
    <row r="137" spans="1:1" ht="15.75" customHeight="1">
      <c r="A137" s="9"/>
    </row>
    <row r="138" spans="1:1" ht="15.75" customHeight="1">
      <c r="A138" s="9"/>
    </row>
    <row r="139" spans="1:1" ht="15.75" customHeight="1">
      <c r="A139" s="9"/>
    </row>
    <row r="140" spans="1:1" ht="15.75" customHeight="1">
      <c r="A140" s="9"/>
    </row>
    <row r="141" spans="1:1" ht="15.75" customHeight="1">
      <c r="A141" s="9"/>
    </row>
    <row r="142" spans="1:1" ht="15.75" customHeight="1">
      <c r="A142" s="9"/>
    </row>
    <row r="143" spans="1:1" ht="15.75" customHeight="1">
      <c r="A143" s="9"/>
    </row>
    <row r="144" spans="1:1" ht="15.75" customHeight="1">
      <c r="A144" s="9"/>
    </row>
    <row r="145" spans="1:1" ht="15.75" customHeight="1">
      <c r="A145" s="9"/>
    </row>
    <row r="146" spans="1:1" ht="15.75" customHeight="1">
      <c r="A146" s="9"/>
    </row>
    <row r="147" spans="1:1" ht="15.75" customHeight="1">
      <c r="A147" s="9"/>
    </row>
    <row r="148" spans="1:1" ht="15.75" customHeight="1">
      <c r="A148" s="9"/>
    </row>
    <row r="149" spans="1:1" ht="15.75" customHeight="1">
      <c r="A149" s="9"/>
    </row>
    <row r="150" spans="1:1" ht="15.75" customHeight="1">
      <c r="A150" s="9"/>
    </row>
    <row r="151" spans="1:1" ht="15.75" customHeight="1">
      <c r="A151" s="9"/>
    </row>
    <row r="152" spans="1:1" ht="15.75" customHeight="1">
      <c r="A152" s="9"/>
    </row>
    <row r="153" spans="1:1" ht="15.75" customHeight="1">
      <c r="A153" s="9"/>
    </row>
    <row r="154" spans="1:1" ht="15.75" customHeight="1">
      <c r="A154" s="9"/>
    </row>
    <row r="155" spans="1:1" ht="15.75" customHeight="1">
      <c r="A155" s="9"/>
    </row>
    <row r="156" spans="1:1" ht="15.75" customHeight="1">
      <c r="A156" s="9"/>
    </row>
    <row r="157" spans="1:1" ht="15.75" customHeight="1">
      <c r="A157" s="9"/>
    </row>
    <row r="158" spans="1:1" ht="15.75" customHeight="1">
      <c r="A158" s="9"/>
    </row>
    <row r="159" spans="1:1" ht="15.75" customHeight="1">
      <c r="A159" s="9"/>
    </row>
    <row r="160" spans="1:1" ht="15.75" customHeight="1">
      <c r="A160" s="9"/>
    </row>
    <row r="161" spans="1:1" ht="15.75" customHeight="1">
      <c r="A161" s="9"/>
    </row>
    <row r="162" spans="1:1" ht="15.75" customHeight="1">
      <c r="A162" s="9"/>
    </row>
    <row r="163" spans="1:1" ht="15.75" customHeight="1">
      <c r="A163" s="9"/>
    </row>
    <row r="164" spans="1:1" ht="15.75" customHeight="1">
      <c r="A164" s="9"/>
    </row>
    <row r="165" spans="1:1" ht="15.75" customHeight="1">
      <c r="A165" s="9"/>
    </row>
    <row r="166" spans="1:1" ht="15.75" customHeight="1">
      <c r="A166" s="9"/>
    </row>
    <row r="167" spans="1:1" ht="15.75" customHeight="1">
      <c r="A167" s="9"/>
    </row>
    <row r="168" spans="1:1" ht="15.75" customHeight="1">
      <c r="A168" s="9"/>
    </row>
    <row r="169" spans="1:1" ht="15.75" customHeight="1">
      <c r="A169" s="9"/>
    </row>
    <row r="170" spans="1:1" ht="15.75" customHeight="1">
      <c r="A170" s="9"/>
    </row>
    <row r="171" spans="1:1" ht="15.75" customHeight="1">
      <c r="A171" s="9"/>
    </row>
    <row r="172" spans="1:1" ht="15.75" customHeight="1">
      <c r="A172" s="9"/>
    </row>
    <row r="173" spans="1:1" ht="15.75" customHeight="1">
      <c r="A173" s="9"/>
    </row>
    <row r="174" spans="1:1" ht="15.75" customHeight="1">
      <c r="A174" s="9"/>
    </row>
    <row r="175" spans="1:1" ht="15.75" customHeight="1">
      <c r="A175" s="9"/>
    </row>
    <row r="176" spans="1:1" ht="15.75" customHeight="1">
      <c r="A176" s="9"/>
    </row>
    <row r="177" spans="1:1" ht="15.75" customHeight="1">
      <c r="A177" s="9"/>
    </row>
    <row r="178" spans="1:1" ht="15.75" customHeight="1">
      <c r="A178" s="9"/>
    </row>
    <row r="179" spans="1:1" ht="15.75" customHeight="1">
      <c r="A179" s="9"/>
    </row>
    <row r="180" spans="1:1" ht="15.75" customHeight="1">
      <c r="A180" s="9"/>
    </row>
    <row r="181" spans="1:1" ht="15.75" customHeight="1">
      <c r="A181" s="9"/>
    </row>
    <row r="182" spans="1:1" ht="15.75" customHeight="1">
      <c r="A182" s="9"/>
    </row>
    <row r="183" spans="1:1" ht="15.75" customHeight="1">
      <c r="A183" s="9"/>
    </row>
    <row r="184" spans="1:1" ht="15.75" customHeight="1">
      <c r="A184" s="9"/>
    </row>
    <row r="185" spans="1:1" ht="15.75" customHeight="1">
      <c r="A185" s="9"/>
    </row>
    <row r="186" spans="1:1" ht="15.75" customHeight="1">
      <c r="A186" s="9"/>
    </row>
    <row r="187" spans="1:1" ht="15.75" customHeight="1">
      <c r="A187" s="9"/>
    </row>
    <row r="188" spans="1:1" ht="15.75" customHeight="1">
      <c r="A188" s="9"/>
    </row>
    <row r="189" spans="1:1" ht="15.75" customHeight="1">
      <c r="A189" s="9"/>
    </row>
    <row r="190" spans="1:1" ht="15.75" customHeight="1">
      <c r="A190" s="9"/>
    </row>
    <row r="191" spans="1:1" ht="15.75" customHeight="1">
      <c r="A191" s="9"/>
    </row>
    <row r="192" spans="1:1" ht="15.75" customHeight="1">
      <c r="A192" s="9"/>
    </row>
    <row r="193" spans="1:1" ht="15.75" customHeight="1">
      <c r="A193" s="9"/>
    </row>
    <row r="194" spans="1:1" ht="15.75" customHeight="1">
      <c r="A194" s="9"/>
    </row>
    <row r="195" spans="1:1" ht="15.75" customHeight="1">
      <c r="A195" s="9"/>
    </row>
    <row r="196" spans="1:1" ht="15.75" customHeight="1">
      <c r="A196" s="9"/>
    </row>
    <row r="197" spans="1:1" ht="15.75" customHeight="1">
      <c r="A197" s="9"/>
    </row>
    <row r="198" spans="1:1" ht="15.75" customHeight="1">
      <c r="A198" s="9"/>
    </row>
    <row r="199" spans="1:1" ht="15.75" customHeight="1">
      <c r="A199" s="9"/>
    </row>
    <row r="200" spans="1:1" ht="15.75" customHeight="1">
      <c r="A200" s="9"/>
    </row>
    <row r="201" spans="1:1" ht="15.75" customHeight="1">
      <c r="A201" s="9"/>
    </row>
    <row r="202" spans="1:1" ht="15.75" customHeight="1">
      <c r="A202" s="9"/>
    </row>
    <row r="203" spans="1:1" ht="15.75" customHeight="1">
      <c r="A203" s="9"/>
    </row>
    <row r="204" spans="1:1" ht="15.75" customHeight="1">
      <c r="A204" s="9"/>
    </row>
    <row r="205" spans="1:1" ht="15.75" customHeight="1">
      <c r="A205" s="9"/>
    </row>
    <row r="206" spans="1:1" ht="15.75" customHeight="1">
      <c r="A206" s="9"/>
    </row>
    <row r="207" spans="1:1" ht="15.75" customHeight="1">
      <c r="A207" s="9"/>
    </row>
    <row r="208" spans="1:1" ht="15.75" customHeight="1">
      <c r="A208" s="9"/>
    </row>
    <row r="209" spans="1:1" ht="15.75" customHeight="1">
      <c r="A209" s="9"/>
    </row>
    <row r="210" spans="1:1" ht="15.75" customHeight="1">
      <c r="A210" s="9"/>
    </row>
    <row r="211" spans="1:1" ht="15.75" customHeight="1">
      <c r="A211" s="9"/>
    </row>
    <row r="212" spans="1:1" ht="15.75" customHeight="1">
      <c r="A212" s="9"/>
    </row>
    <row r="213" spans="1:1" ht="15.75" customHeight="1">
      <c r="A213" s="9"/>
    </row>
    <row r="214" spans="1:1" ht="15.75" customHeight="1">
      <c r="A214" s="9"/>
    </row>
    <row r="215" spans="1:1" ht="15.75" customHeight="1">
      <c r="A215" s="9"/>
    </row>
    <row r="216" spans="1:1" ht="15.75" customHeight="1">
      <c r="A216" s="9"/>
    </row>
    <row r="217" spans="1:1" ht="15.75" customHeight="1">
      <c r="A217" s="9"/>
    </row>
    <row r="218" spans="1:1" ht="15.75" customHeight="1">
      <c r="A218" s="9"/>
    </row>
    <row r="219" spans="1:1" ht="15.75" customHeight="1">
      <c r="A219" s="9"/>
    </row>
    <row r="220" spans="1:1" ht="15.75" customHeight="1">
      <c r="A220" s="9"/>
    </row>
    <row r="221" spans="1:1" ht="15.75" customHeight="1">
      <c r="A221" s="9"/>
    </row>
    <row r="222" spans="1:1" ht="15.75" customHeight="1">
      <c r="A222" s="9"/>
    </row>
    <row r="223" spans="1:1" ht="15.75" customHeight="1">
      <c r="A223" s="9"/>
    </row>
    <row r="224" spans="1:1" ht="15.75" customHeight="1">
      <c r="A224" s="9"/>
    </row>
    <row r="225" spans="1:1" ht="15.75" customHeight="1">
      <c r="A225" s="9"/>
    </row>
    <row r="226" spans="1:1" ht="15.75" customHeight="1">
      <c r="A226" s="9"/>
    </row>
    <row r="227" spans="1:1" ht="15.75" customHeight="1">
      <c r="A227" s="9"/>
    </row>
    <row r="228" spans="1:1" ht="15.75" customHeight="1">
      <c r="A228" s="9"/>
    </row>
    <row r="229" spans="1:1" ht="15.75" customHeight="1">
      <c r="A229" s="9"/>
    </row>
    <row r="230" spans="1:1" ht="15.75" customHeight="1">
      <c r="A230" s="9"/>
    </row>
    <row r="231" spans="1:1" ht="15.75" customHeight="1">
      <c r="A231" s="9"/>
    </row>
    <row r="232" spans="1:1" ht="15.75" customHeight="1">
      <c r="A232" s="9"/>
    </row>
    <row r="233" spans="1:1" ht="15.75" customHeight="1">
      <c r="A233" s="9"/>
    </row>
    <row r="234" spans="1:1" ht="15.75" customHeight="1">
      <c r="A234" s="9"/>
    </row>
    <row r="235" spans="1:1" ht="15.75" customHeight="1">
      <c r="A235" s="9"/>
    </row>
    <row r="236" spans="1:1" ht="15.75" customHeight="1">
      <c r="A236" s="9"/>
    </row>
    <row r="237" spans="1:1" ht="15.75" customHeight="1">
      <c r="A237" s="9"/>
    </row>
    <row r="238" spans="1:1" ht="15.75" customHeight="1">
      <c r="A238" s="9"/>
    </row>
    <row r="239" spans="1:1" ht="15.75" customHeight="1">
      <c r="A239" s="9"/>
    </row>
    <row r="240" spans="1:1" ht="15.75" customHeight="1">
      <c r="A240" s="9"/>
    </row>
    <row r="241" spans="1:1" ht="15.75" customHeight="1">
      <c r="A241" s="9"/>
    </row>
    <row r="242" spans="1:1" ht="15.75" customHeight="1">
      <c r="A242" s="9"/>
    </row>
    <row r="243" spans="1:1" ht="15.75" customHeight="1">
      <c r="A243" s="9"/>
    </row>
    <row r="244" spans="1:1" ht="15.75" customHeight="1">
      <c r="A244" s="9"/>
    </row>
    <row r="245" spans="1:1" ht="15.75" customHeight="1">
      <c r="A245" s="9"/>
    </row>
    <row r="246" spans="1:1" ht="15.75" customHeight="1">
      <c r="A246" s="9"/>
    </row>
    <row r="247" spans="1:1" ht="15.75" customHeight="1">
      <c r="A247" s="9"/>
    </row>
    <row r="248" spans="1:1" ht="15.75" customHeight="1">
      <c r="A248" s="9"/>
    </row>
    <row r="249" spans="1:1" ht="15.75" customHeight="1">
      <c r="A249" s="9"/>
    </row>
    <row r="250" spans="1:1" ht="15.75" customHeight="1">
      <c r="A250" s="9"/>
    </row>
    <row r="251" spans="1:1" ht="15.75" customHeight="1">
      <c r="A251" s="9"/>
    </row>
    <row r="252" spans="1:1" ht="15.75" customHeight="1">
      <c r="A252" s="9"/>
    </row>
    <row r="253" spans="1:1" ht="15.75" customHeight="1">
      <c r="A253" s="9"/>
    </row>
    <row r="254" spans="1:1" ht="15.75" customHeight="1">
      <c r="A254" s="9"/>
    </row>
    <row r="255" spans="1:1" ht="15.75" customHeight="1">
      <c r="A255" s="9"/>
    </row>
    <row r="256" spans="1:1" ht="15.75" customHeight="1">
      <c r="A256" s="9"/>
    </row>
    <row r="257" spans="1:1" ht="15.75" customHeight="1">
      <c r="A257" s="9"/>
    </row>
    <row r="258" spans="1:1" ht="15.75" customHeight="1">
      <c r="A258" s="9"/>
    </row>
    <row r="259" spans="1:1" ht="15.75" customHeight="1">
      <c r="A259" s="9"/>
    </row>
    <row r="260" spans="1:1" ht="15.75" customHeight="1">
      <c r="A260" s="9"/>
    </row>
    <row r="261" spans="1:1" ht="15.75" customHeight="1">
      <c r="A261" s="9"/>
    </row>
    <row r="262" spans="1:1" ht="15.75" customHeight="1">
      <c r="A262" s="9"/>
    </row>
    <row r="263" spans="1:1" ht="15.75" customHeight="1">
      <c r="A263" s="9"/>
    </row>
    <row r="264" spans="1:1" ht="15.75" customHeight="1">
      <c r="A264" s="9"/>
    </row>
    <row r="265" spans="1:1" ht="15.75" customHeight="1">
      <c r="A265" s="9"/>
    </row>
    <row r="266" spans="1:1" ht="15.75" customHeight="1">
      <c r="A266" s="9"/>
    </row>
    <row r="267" spans="1:1" ht="15.75" customHeight="1"/>
    <row r="268" spans="1:1" ht="15.75" customHeight="1"/>
    <row r="269" spans="1:1" ht="15.75" customHeight="1"/>
    <row r="270" spans="1:1" ht="15.75" customHeight="1"/>
    <row r="271" spans="1:1" ht="15.75" customHeight="1"/>
    <row r="272" spans="1:1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</sheetData>
  <phoneticPr fontId="31" type="noConversion"/>
  <conditionalFormatting sqref="B60:M61">
    <cfRule type="expression" dxfId="15" priority="2">
      <formula>$C$58="No"</formula>
    </cfRule>
  </conditionalFormatting>
  <conditionalFormatting sqref="C7:M38 D45:M49 D51:M55">
    <cfRule type="containsBlanks" dxfId="14" priority="5">
      <formula>LEN(TRIM(C7))=0</formula>
    </cfRule>
  </conditionalFormatting>
  <conditionalFormatting sqref="C40:M43">
    <cfRule type="containsBlanks" dxfId="13" priority="7">
      <formula>LEN(TRIM(C40))=0</formula>
    </cfRule>
  </conditionalFormatting>
  <conditionalFormatting sqref="D17:M18">
    <cfRule type="containsBlanks" dxfId="12" priority="6">
      <formula>LEN(TRIM(D17))=0</formula>
    </cfRule>
  </conditionalFormatting>
  <dataValidations count="4">
    <dataValidation type="decimal" allowBlank="1" showDropDown="1" sqref="D60" xr:uid="{00000000-0002-0000-0100-000000000000}">
      <formula1>1</formula1>
      <formula2>10</formula2>
    </dataValidation>
    <dataValidation allowBlank="1" showInputMessage="1" showErrorMessage="1" sqref="C3" xr:uid="{00000000-0002-0000-0100-000001000000}"/>
    <dataValidation type="list" allowBlank="1" sqref="C58" xr:uid="{00000000-0002-0000-0100-000003000000}">
      <formula1>"Yes,No"</formula1>
    </dataValidation>
    <dataValidation allowBlank="1" sqref="C59" xr:uid="{536BB552-B5C0-4BE0-BE6E-3B4056ED999A}"/>
  </dataValidations>
  <pageMargins left="0.7" right="0.7" top="0.75" bottom="0.75" header="0" footer="0"/>
  <pageSetup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rgb="FFB6D7A8"/>
    <outlinePr summaryBelow="0" summaryRight="0"/>
    <pageSetUpPr fitToPage="1"/>
  </sheetPr>
  <dimension ref="A2:K68"/>
  <sheetViews>
    <sheetView showGridLines="0" tabSelected="1" zoomScaleNormal="100" workbookViewId="0">
      <selection activeCell="D10" sqref="D10"/>
    </sheetView>
  </sheetViews>
  <sheetFormatPr defaultColWidth="12.46484375" defaultRowHeight="15" customHeight="1"/>
  <cols>
    <col min="1" max="1" width="2.46484375" style="3" customWidth="1"/>
    <col min="2" max="2" width="27" style="3" customWidth="1"/>
    <col min="3" max="5" width="17.46484375" style="3" customWidth="1"/>
    <col min="6" max="6" width="7.46484375" style="3" customWidth="1"/>
    <col min="7" max="7" width="2.06640625" style="3" customWidth="1"/>
    <col min="8" max="8" width="18.46484375" style="3" bestFit="1" customWidth="1"/>
    <col min="9" max="9" width="13.33203125" style="3" bestFit="1" customWidth="1"/>
    <col min="10" max="10" width="4.59765625" style="3" customWidth="1"/>
    <col min="11" max="11" width="38.796875" style="3" customWidth="1"/>
    <col min="12" max="16384" width="12.46484375" style="3"/>
  </cols>
  <sheetData>
    <row r="2" spans="1:11" ht="15" customHeight="1">
      <c r="A2" s="4"/>
      <c r="B2" s="110" t="s">
        <v>70</v>
      </c>
      <c r="C2" s="110"/>
      <c r="D2" s="185"/>
      <c r="E2" s="6"/>
      <c r="F2" s="12"/>
      <c r="G2" s="12"/>
      <c r="H2" s="12"/>
      <c r="I2" s="6"/>
      <c r="K2" s="127" t="s">
        <v>117</v>
      </c>
    </row>
    <row r="3" spans="1:11" ht="15" customHeight="1">
      <c r="B3" s="5" t="s">
        <v>215</v>
      </c>
      <c r="C3" s="6"/>
      <c r="D3" s="190">
        <v>4086917</v>
      </c>
      <c r="E3" s="191" t="str">
        <f>IF((C49-I49)=D3,"", "Error!")</f>
        <v/>
      </c>
      <c r="F3" s="6"/>
      <c r="G3" s="6"/>
      <c r="H3" s="112" t="s">
        <v>216</v>
      </c>
      <c r="I3" s="163">
        <v>4036311</v>
      </c>
      <c r="K3" s="43"/>
    </row>
    <row r="4" spans="1:11" ht="15" customHeight="1">
      <c r="B4" s="5" t="s">
        <v>193</v>
      </c>
      <c r="C4" s="6"/>
      <c r="D4" s="186">
        <f>D3-I3</f>
        <v>50606</v>
      </c>
      <c r="E4" s="90"/>
      <c r="F4" s="6"/>
      <c r="G4" s="6"/>
      <c r="H4" s="38" t="s">
        <v>71</v>
      </c>
      <c r="I4" s="139">
        <f>(I3*Dashboard!I12*Data!C4)/Dashboard!I5</f>
        <v>5.0990886806406577</v>
      </c>
      <c r="K4" s="43"/>
    </row>
    <row r="5" spans="1:11" ht="15" customHeight="1">
      <c r="C5" s="6"/>
      <c r="D5" s="6"/>
      <c r="E5" s="18" t="s">
        <v>72</v>
      </c>
      <c r="I5" s="6"/>
      <c r="K5" s="43"/>
    </row>
    <row r="6" spans="1:11" ht="15" customHeight="1" thickBot="1">
      <c r="B6" s="37" t="s">
        <v>318</v>
      </c>
      <c r="C6" s="6"/>
      <c r="D6" s="193">
        <f>E49-I49-E53</f>
        <v>1047638.7241246243</v>
      </c>
      <c r="E6" s="149">
        <f>1-D6/D3</f>
        <v>0.74366038651515942</v>
      </c>
      <c r="F6" s="6"/>
      <c r="G6" s="6"/>
      <c r="H6" s="3" t="s">
        <v>257</v>
      </c>
      <c r="I6" s="184">
        <f>C28/I28</f>
        <v>1.5955561828725568</v>
      </c>
      <c r="J6" s="6"/>
      <c r="K6" s="43"/>
    </row>
    <row r="7" spans="1:11" ht="15" customHeight="1" thickTop="1">
      <c r="B7" s="32" t="s">
        <v>319</v>
      </c>
      <c r="C7" s="6"/>
      <c r="D7" s="187">
        <f>MAX((D6*Exchange_Rate*Data!C4)/Common_Shares, 0)</f>
        <v>1.3234864111275597</v>
      </c>
      <c r="E7" s="18" t="str">
        <f>Dashboard!J4</f>
        <v>HKD</v>
      </c>
      <c r="H7" s="3" t="s">
        <v>258</v>
      </c>
      <c r="I7" s="184">
        <f>C25/I28</f>
        <v>0.62572409874452151</v>
      </c>
      <c r="J7" s="6"/>
      <c r="K7" s="77"/>
    </row>
    <row r="8" spans="1:11" ht="15" customHeight="1">
      <c r="C8" s="6"/>
      <c r="D8" s="6"/>
      <c r="E8" s="6"/>
      <c r="H8" s="3" t="s">
        <v>259</v>
      </c>
      <c r="I8" s="184">
        <f>C24/I28</f>
        <v>0.56938210481743268</v>
      </c>
      <c r="K8" s="43"/>
    </row>
    <row r="9" spans="1:11" ht="15" customHeight="1">
      <c r="A9" s="4"/>
      <c r="B9" s="111" t="s">
        <v>211</v>
      </c>
      <c r="C9" s="84"/>
      <c r="D9" s="188">
        <v>45107</v>
      </c>
      <c r="E9" s="189" t="s">
        <v>390</v>
      </c>
      <c r="F9" s="84"/>
      <c r="G9" s="84"/>
      <c r="H9" s="84"/>
      <c r="I9" s="84"/>
      <c r="K9" s="43"/>
    </row>
    <row r="10" spans="1:11" ht="15" customHeight="1">
      <c r="B10" s="5" t="s">
        <v>73</v>
      </c>
      <c r="C10" s="282" t="s">
        <v>74</v>
      </c>
      <c r="D10" s="282" t="s">
        <v>75</v>
      </c>
      <c r="E10" s="282" t="s">
        <v>76</v>
      </c>
      <c r="F10" s="283" t="s">
        <v>202</v>
      </c>
      <c r="G10" s="6"/>
      <c r="H10" s="40" t="s">
        <v>77</v>
      </c>
      <c r="I10" s="282" t="s">
        <v>74</v>
      </c>
      <c r="K10" s="43"/>
    </row>
    <row r="11" spans="1:11" ht="15" customHeight="1">
      <c r="B11" s="5" t="s">
        <v>78</v>
      </c>
      <c r="C11" s="179">
        <v>2356066</v>
      </c>
      <c r="D11" s="180">
        <v>1</v>
      </c>
      <c r="E11" s="51">
        <f t="shared" ref="E11:E21" si="0">C11*D11</f>
        <v>2356066</v>
      </c>
      <c r="F11" s="6"/>
      <c r="G11" s="6"/>
      <c r="H11" s="5" t="s">
        <v>79</v>
      </c>
      <c r="I11" s="179">
        <v>713142</v>
      </c>
      <c r="J11" s="6"/>
      <c r="K11" s="43"/>
    </row>
    <row r="12" spans="1:11" ht="13.9">
      <c r="B12" s="3" t="s">
        <v>80</v>
      </c>
      <c r="C12" s="179">
        <v>3815</v>
      </c>
      <c r="D12" s="180">
        <v>1</v>
      </c>
      <c r="E12" s="51">
        <f t="shared" si="0"/>
        <v>3815</v>
      </c>
      <c r="F12" s="6"/>
      <c r="G12" s="6"/>
      <c r="H12" s="5" t="s">
        <v>81</v>
      </c>
      <c r="I12" s="179">
        <v>8052</v>
      </c>
      <c r="J12" s="6"/>
      <c r="K12" s="43"/>
    </row>
    <row r="13" spans="1:11" ht="13.9">
      <c r="B13" s="5" t="s">
        <v>82</v>
      </c>
      <c r="C13" s="179">
        <v>0</v>
      </c>
      <c r="D13" s="180">
        <v>1</v>
      </c>
      <c r="E13" s="51">
        <f t="shared" si="0"/>
        <v>0</v>
      </c>
      <c r="F13" s="6"/>
      <c r="G13" s="6"/>
      <c r="H13" s="5" t="s">
        <v>83</v>
      </c>
      <c r="I13" s="179">
        <v>0</v>
      </c>
      <c r="J13" s="6"/>
      <c r="K13" s="45"/>
    </row>
    <row r="14" spans="1:11" ht="13.9">
      <c r="B14" s="5" t="s">
        <v>84</v>
      </c>
      <c r="C14" s="179">
        <v>0</v>
      </c>
      <c r="D14" s="180">
        <v>0.7</v>
      </c>
      <c r="E14" s="51">
        <f t="shared" si="0"/>
        <v>0</v>
      </c>
      <c r="F14" s="6"/>
      <c r="G14" s="6"/>
      <c r="H14" s="6" t="s">
        <v>352</v>
      </c>
      <c r="I14" s="179">
        <v>0</v>
      </c>
      <c r="J14" s="6"/>
      <c r="K14" s="47"/>
    </row>
    <row r="15" spans="1:11" ht="13.9">
      <c r="B15" s="5" t="s">
        <v>86</v>
      </c>
      <c r="C15" s="179">
        <v>47</v>
      </c>
      <c r="D15" s="180">
        <v>0.5</v>
      </c>
      <c r="E15" s="51">
        <f t="shared" si="0"/>
        <v>23.5</v>
      </c>
      <c r="F15" s="6"/>
      <c r="G15" s="6"/>
      <c r="H15" s="5" t="s">
        <v>87</v>
      </c>
      <c r="I15" s="130">
        <f>I28-SUM(I11:I14)</f>
        <v>3423441</v>
      </c>
      <c r="J15" s="6"/>
    </row>
    <row r="16" spans="1:11" ht="13.9">
      <c r="B16" s="3" t="s">
        <v>85</v>
      </c>
      <c r="C16" s="179">
        <v>0</v>
      </c>
      <c r="D16" s="180">
        <v>0.5</v>
      </c>
      <c r="E16" s="51">
        <f t="shared" si="0"/>
        <v>0</v>
      </c>
      <c r="F16" s="181" t="s">
        <v>203</v>
      </c>
      <c r="G16" s="58">
        <f>IF(F16="Y",0,1)</f>
        <v>0</v>
      </c>
      <c r="H16" s="5"/>
      <c r="I16" s="94"/>
      <c r="J16" s="6"/>
    </row>
    <row r="17" spans="2:10" ht="13.9">
      <c r="B17" s="5" t="s">
        <v>351</v>
      </c>
      <c r="C17" s="179">
        <v>2593351</v>
      </c>
      <c r="D17" s="180">
        <v>0.6</v>
      </c>
      <c r="E17" s="51">
        <f t="shared" si="0"/>
        <v>1556010.5999999999</v>
      </c>
      <c r="F17" s="6"/>
      <c r="G17" s="6"/>
      <c r="H17" s="5"/>
      <c r="I17" s="94"/>
      <c r="J17" s="6"/>
    </row>
    <row r="18" spans="2:10" ht="13.9">
      <c r="B18" s="5" t="s">
        <v>88</v>
      </c>
      <c r="C18" s="179">
        <v>1657586</v>
      </c>
      <c r="D18" s="180">
        <v>0.5</v>
      </c>
      <c r="E18" s="51">
        <f t="shared" si="0"/>
        <v>828793</v>
      </c>
      <c r="F18" s="6"/>
      <c r="G18" s="6"/>
      <c r="H18" s="6"/>
      <c r="I18" s="6"/>
    </row>
    <row r="19" spans="2:10" ht="13.9">
      <c r="B19" s="3" t="s">
        <v>89</v>
      </c>
      <c r="C19" s="179">
        <v>0</v>
      </c>
      <c r="D19" s="180">
        <v>0.75</v>
      </c>
      <c r="E19" s="51">
        <f t="shared" si="0"/>
        <v>0</v>
      </c>
      <c r="F19" s="181" t="s">
        <v>203</v>
      </c>
      <c r="G19" s="58">
        <f>IF(F19="Y",0,1)</f>
        <v>0</v>
      </c>
      <c r="H19" s="5"/>
      <c r="I19" s="94"/>
    </row>
    <row r="20" spans="2:10" ht="13.9">
      <c r="B20" s="5" t="s">
        <v>90</v>
      </c>
      <c r="C20" s="179">
        <v>0</v>
      </c>
      <c r="D20" s="180">
        <v>0.6</v>
      </c>
      <c r="E20" s="51">
        <f t="shared" si="0"/>
        <v>0</v>
      </c>
      <c r="F20" s="181" t="s">
        <v>203</v>
      </c>
      <c r="G20" s="58">
        <f>IF(F20="Y",0,1)</f>
        <v>0</v>
      </c>
      <c r="H20" s="5"/>
      <c r="I20" s="94"/>
    </row>
    <row r="21" spans="2:10" ht="13.9">
      <c r="B21" s="5" t="s">
        <v>91</v>
      </c>
      <c r="C21" s="179">
        <v>2133</v>
      </c>
      <c r="D21" s="180">
        <v>0.95</v>
      </c>
      <c r="E21" s="51">
        <f t="shared" si="0"/>
        <v>2026.35</v>
      </c>
      <c r="F21" s="6"/>
      <c r="G21" s="6"/>
      <c r="H21" s="5"/>
      <c r="I21" s="94"/>
    </row>
    <row r="22" spans="2:10" ht="15" customHeight="1">
      <c r="B22" s="5" t="s">
        <v>92</v>
      </c>
      <c r="C22" s="179">
        <v>0</v>
      </c>
      <c r="D22" s="180">
        <v>0.2</v>
      </c>
      <c r="E22" s="51">
        <f t="shared" ref="E22" si="1">C22*D22</f>
        <v>0</v>
      </c>
      <c r="F22" s="6"/>
      <c r="G22" s="6"/>
      <c r="H22" s="6"/>
      <c r="I22" s="6"/>
    </row>
    <row r="23" spans="2:10" ht="15" customHeight="1">
      <c r="C23" s="6"/>
      <c r="D23" s="6"/>
      <c r="E23" s="6"/>
      <c r="F23" s="283" t="s">
        <v>401</v>
      </c>
      <c r="G23" s="6"/>
      <c r="H23" s="6"/>
      <c r="I23" s="6"/>
    </row>
    <row r="24" spans="2:10" ht="15" customHeight="1">
      <c r="B24" s="41" t="s">
        <v>391</v>
      </c>
      <c r="C24" s="182">
        <f>SUM(C11:C14)</f>
        <v>2359881</v>
      </c>
      <c r="D24" s="183">
        <f>IF(E24=0,0,E24/C24)</f>
        <v>1</v>
      </c>
      <c r="E24" s="51">
        <f>SUM(E11:E14)</f>
        <v>2359881</v>
      </c>
      <c r="F24" s="233">
        <f>E24/$E$28</f>
        <v>0.49715884148522366</v>
      </c>
      <c r="G24" s="6"/>
      <c r="H24" s="3" t="s">
        <v>399</v>
      </c>
      <c r="I24" s="312">
        <f>I11+I12+I13</f>
        <v>721194</v>
      </c>
    </row>
    <row r="25" spans="2:10" ht="15" customHeight="1">
      <c r="B25" s="41" t="s">
        <v>395</v>
      </c>
      <c r="C25" s="182">
        <f>SUM(C15:C17)</f>
        <v>2593398</v>
      </c>
      <c r="D25" s="183">
        <f>IF(E25=0,0,E25/C25)</f>
        <v>0.59999818770585922</v>
      </c>
      <c r="E25" s="51">
        <f>SUM(E15:E17)</f>
        <v>1556034.0999999999</v>
      </c>
      <c r="F25" s="233">
        <f t="shared" ref="F25:F27" si="2">E25/$E$28</f>
        <v>0.32781149154025252</v>
      </c>
      <c r="G25" s="6"/>
      <c r="H25" s="41" t="s">
        <v>402</v>
      </c>
      <c r="I25" s="184">
        <f>E28/I28</f>
        <v>1.1452720082709331</v>
      </c>
    </row>
    <row r="26" spans="2:10" ht="15" customHeight="1">
      <c r="B26" s="41" t="s">
        <v>393</v>
      </c>
      <c r="C26" s="182">
        <f>C18+C19+C20</f>
        <v>1657586</v>
      </c>
      <c r="D26" s="183">
        <f t="shared" ref="D26:D27" si="3">IF(E26=0,0,E26/C26)</f>
        <v>0.5</v>
      </c>
      <c r="E26" s="51">
        <f>E18+E19+E20</f>
        <v>828793</v>
      </c>
      <c r="F26" s="233">
        <f t="shared" si="2"/>
        <v>0.17460277349199513</v>
      </c>
      <c r="G26" s="6"/>
      <c r="H26" s="41" t="s">
        <v>260</v>
      </c>
      <c r="I26" s="184">
        <f>E24/($I$28-I15)</f>
        <v>3.272186124676578</v>
      </c>
      <c r="J26" s="13" t="str">
        <f>IF(I26&lt;1,"Liquidity Problem!","")</f>
        <v/>
      </c>
    </row>
    <row r="27" spans="2:10" ht="15" customHeight="1">
      <c r="B27" s="41" t="s">
        <v>394</v>
      </c>
      <c r="C27" s="305">
        <f>C21+C22</f>
        <v>2133</v>
      </c>
      <c r="D27" s="183">
        <f t="shared" si="3"/>
        <v>0.95</v>
      </c>
      <c r="E27" s="51">
        <f>E21+E22</f>
        <v>2026.35</v>
      </c>
      <c r="F27" s="233">
        <f t="shared" si="2"/>
        <v>4.2689348252881521E-4</v>
      </c>
      <c r="G27" s="6"/>
      <c r="H27" s="41" t="s">
        <v>264</v>
      </c>
      <c r="I27" s="184">
        <f>(E25+E24)/$I$28</f>
        <v>0.9448154300680276</v>
      </c>
      <c r="J27" s="13" t="str">
        <f>IF(OR(I27&lt;0.75,C28&lt;I28),"Liquidity Problem!","")</f>
        <v/>
      </c>
    </row>
    <row r="28" spans="2:10" ht="15" customHeight="1">
      <c r="B28" s="306" t="s">
        <v>93</v>
      </c>
      <c r="C28" s="307">
        <f>SUM(C24:C27)</f>
        <v>6612998</v>
      </c>
      <c r="D28" s="166">
        <f t="shared" ref="D28" si="4">E28/C28</f>
        <v>0.71778858091292319</v>
      </c>
      <c r="E28" s="212">
        <f>SUM(E24:E27)</f>
        <v>4746734.4499999993</v>
      </c>
      <c r="F28" s="6"/>
      <c r="G28" s="6"/>
      <c r="H28" s="306" t="s">
        <v>53</v>
      </c>
      <c r="I28" s="190">
        <v>4144635</v>
      </c>
      <c r="J28" s="68">
        <f>IF(J26="",1,0)+IF(J27="",1,0)+IF(J46="",1,0)+IF(J47="",1,0)</f>
        <v>4</v>
      </c>
    </row>
    <row r="29" spans="2:10" ht="15" customHeight="1">
      <c r="C29" s="6"/>
      <c r="D29" s="6"/>
      <c r="E29" s="6"/>
      <c r="F29" s="22" t="s">
        <v>202</v>
      </c>
      <c r="G29" s="6"/>
      <c r="H29" s="6"/>
      <c r="I29" s="6"/>
      <c r="J29" s="6"/>
    </row>
    <row r="30" spans="2:10" ht="15" customHeight="1">
      <c r="B30" s="5" t="s">
        <v>94</v>
      </c>
      <c r="C30" s="179">
        <v>0</v>
      </c>
      <c r="D30" s="180">
        <v>0.95</v>
      </c>
      <c r="E30" s="51">
        <v>0</v>
      </c>
      <c r="F30" s="6"/>
      <c r="G30" s="6"/>
      <c r="H30" s="5" t="s">
        <v>95</v>
      </c>
      <c r="I30" s="179">
        <v>72207</v>
      </c>
      <c r="J30" s="6"/>
    </row>
    <row r="31" spans="2:10" ht="15" customHeight="1">
      <c r="B31" s="5" t="s">
        <v>96</v>
      </c>
      <c r="C31" s="179">
        <v>0</v>
      </c>
      <c r="D31" s="180">
        <v>0.7</v>
      </c>
      <c r="E31" s="51">
        <f t="shared" ref="E31:E42" si="5">C31*D31</f>
        <v>0</v>
      </c>
      <c r="F31" s="6"/>
      <c r="G31" s="6"/>
      <c r="H31" s="5" t="s">
        <v>97</v>
      </c>
      <c r="I31" s="179">
        <v>11875</v>
      </c>
      <c r="J31" s="6"/>
    </row>
    <row r="32" spans="2:10" ht="15" customHeight="1">
      <c r="B32" s="5" t="s">
        <v>98</v>
      </c>
      <c r="C32" s="179">
        <v>42515</v>
      </c>
      <c r="D32" s="180">
        <v>0.5</v>
      </c>
      <c r="E32" s="51">
        <f t="shared" si="5"/>
        <v>21257.5</v>
      </c>
      <c r="F32" s="6"/>
      <c r="G32" s="6"/>
      <c r="H32" s="5" t="s">
        <v>100</v>
      </c>
      <c r="I32" s="179">
        <v>0</v>
      </c>
      <c r="J32" s="6"/>
    </row>
    <row r="33" spans="2:10" ht="13.9">
      <c r="B33" s="3" t="s">
        <v>99</v>
      </c>
      <c r="C33" s="179">
        <v>0</v>
      </c>
      <c r="D33" s="180">
        <v>0.5</v>
      </c>
      <c r="E33" s="51">
        <f t="shared" si="5"/>
        <v>0</v>
      </c>
      <c r="F33" s="181" t="s">
        <v>203</v>
      </c>
      <c r="G33" s="58">
        <f>IF(F33="Y",0,1)</f>
        <v>0</v>
      </c>
      <c r="H33" s="6" t="s">
        <v>353</v>
      </c>
      <c r="I33" s="179">
        <v>0</v>
      </c>
      <c r="J33" s="6"/>
    </row>
    <row r="34" spans="2:10" ht="13.9">
      <c r="B34" s="5" t="s">
        <v>101</v>
      </c>
      <c r="C34" s="179">
        <v>0</v>
      </c>
      <c r="D34" s="180">
        <v>0.4</v>
      </c>
      <c r="E34" s="51">
        <f t="shared" si="5"/>
        <v>0</v>
      </c>
      <c r="F34" s="6"/>
      <c r="G34" s="6"/>
      <c r="H34" s="5" t="s">
        <v>102</v>
      </c>
      <c r="I34" s="130">
        <f>I48-SUM(I30:I33)</f>
        <v>133710</v>
      </c>
      <c r="J34" s="6"/>
    </row>
    <row r="35" spans="2:10" ht="13.9">
      <c r="B35" s="5" t="s">
        <v>103</v>
      </c>
      <c r="C35" s="179">
        <v>10891</v>
      </c>
      <c r="D35" s="180">
        <v>0.5</v>
      </c>
      <c r="E35" s="51">
        <f t="shared" si="5"/>
        <v>5445.5</v>
      </c>
      <c r="F35" s="181" t="s">
        <v>204</v>
      </c>
      <c r="G35" s="58">
        <f>IF(F35="Y",0,1)</f>
        <v>1</v>
      </c>
      <c r="H35" s="6"/>
      <c r="I35" s="6"/>
      <c r="J35" s="6"/>
    </row>
    <row r="36" spans="2:10" ht="13.9">
      <c r="B36" s="5" t="s">
        <v>104</v>
      </c>
      <c r="C36" s="179">
        <v>0</v>
      </c>
      <c r="D36" s="180">
        <v>0.7</v>
      </c>
      <c r="E36" s="51">
        <f t="shared" si="5"/>
        <v>0</v>
      </c>
      <c r="F36" s="181" t="s">
        <v>204</v>
      </c>
      <c r="G36" s="58">
        <f>IF(F36="Y",0,1)</f>
        <v>1</v>
      </c>
      <c r="H36" s="6"/>
      <c r="I36" s="6"/>
    </row>
    <row r="37" spans="2:10" ht="13.9">
      <c r="B37" s="3" t="s">
        <v>90</v>
      </c>
      <c r="C37" s="179">
        <v>0</v>
      </c>
      <c r="D37" s="180">
        <v>0.4</v>
      </c>
      <c r="E37" s="51">
        <f t="shared" si="5"/>
        <v>0</v>
      </c>
      <c r="F37" s="181" t="s">
        <v>203</v>
      </c>
      <c r="G37" s="58">
        <f>IF(F37="Y",0,1)</f>
        <v>0</v>
      </c>
      <c r="H37" s="6"/>
      <c r="I37" s="6"/>
    </row>
    <row r="38" spans="2:10" ht="15" customHeight="1">
      <c r="B38" s="5" t="s">
        <v>250</v>
      </c>
      <c r="C38" s="179">
        <f>1701740+43976</f>
        <v>1745716</v>
      </c>
      <c r="D38" s="180">
        <v>0.4</v>
      </c>
      <c r="E38" s="51">
        <f t="shared" si="5"/>
        <v>698286.4</v>
      </c>
      <c r="F38" s="6"/>
      <c r="G38" s="6"/>
      <c r="H38" s="6"/>
      <c r="I38" s="6"/>
    </row>
    <row r="39" spans="2:10" ht="13.9">
      <c r="B39" s="5" t="s">
        <v>251</v>
      </c>
      <c r="C39" s="179">
        <v>0</v>
      </c>
      <c r="D39" s="180">
        <v>0.5</v>
      </c>
      <c r="E39" s="51">
        <f t="shared" si="5"/>
        <v>0</v>
      </c>
      <c r="F39" s="6"/>
      <c r="G39" s="6"/>
      <c r="H39" s="6"/>
      <c r="I39" s="6"/>
    </row>
    <row r="40" spans="2:10" ht="15" customHeight="1">
      <c r="B40" s="5" t="s">
        <v>105</v>
      </c>
      <c r="C40" s="179">
        <v>24485</v>
      </c>
      <c r="D40" s="180">
        <v>0.1</v>
      </c>
      <c r="E40" s="51">
        <f t="shared" si="5"/>
        <v>2448.5</v>
      </c>
      <c r="F40" s="6"/>
      <c r="G40" s="6"/>
      <c r="H40" s="6"/>
      <c r="I40" s="6"/>
    </row>
    <row r="41" spans="2:10" ht="15" customHeight="1">
      <c r="B41" s="5" t="s">
        <v>106</v>
      </c>
      <c r="C41" s="179">
        <v>12739</v>
      </c>
      <c r="D41" s="180">
        <v>0.95</v>
      </c>
      <c r="E41" s="51">
        <f t="shared" si="5"/>
        <v>12102.05</v>
      </c>
      <c r="F41" s="6"/>
      <c r="G41" s="6"/>
      <c r="H41" s="6"/>
      <c r="I41" s="6"/>
    </row>
    <row r="42" spans="2:10" ht="15" customHeight="1">
      <c r="B42" s="5" t="s">
        <v>107</v>
      </c>
      <c r="C42" s="179">
        <v>0</v>
      </c>
      <c r="D42" s="180">
        <v>0</v>
      </c>
      <c r="E42" s="51">
        <f t="shared" si="5"/>
        <v>0</v>
      </c>
      <c r="F42" s="6"/>
      <c r="G42" s="6"/>
      <c r="H42" s="6"/>
      <c r="I42" s="6"/>
    </row>
    <row r="43" spans="2:10" ht="15" customHeight="1">
      <c r="C43" s="6"/>
      <c r="D43" s="6"/>
      <c r="E43" s="6"/>
      <c r="F43" s="6"/>
      <c r="G43" s="6"/>
      <c r="H43" s="6"/>
      <c r="I43" s="6"/>
    </row>
    <row r="44" spans="2:10" ht="15" customHeight="1">
      <c r="B44" s="41" t="s">
        <v>392</v>
      </c>
      <c r="C44" s="182">
        <f>SUM(C30:C31)</f>
        <v>0</v>
      </c>
      <c r="D44" s="183">
        <f>IF(E44=0,0,E44/C44)</f>
        <v>0</v>
      </c>
      <c r="E44" s="51">
        <f>SUM(E30:E31)</f>
        <v>0</v>
      </c>
      <c r="F44" s="233"/>
      <c r="G44" s="6"/>
      <c r="H44" s="3" t="s">
        <v>400</v>
      </c>
      <c r="I44" s="312">
        <f>I30+I31+I32</f>
        <v>84082</v>
      </c>
    </row>
    <row r="45" spans="2:10" ht="15" customHeight="1">
      <c r="B45" s="41" t="s">
        <v>396</v>
      </c>
      <c r="C45" s="182">
        <f>SUM(C32:C35)</f>
        <v>53406</v>
      </c>
      <c r="D45" s="183">
        <f>IF(E45=0,0,E45/C45)</f>
        <v>0.5</v>
      </c>
      <c r="E45" s="51">
        <f>SUM(E32:E35)</f>
        <v>26703</v>
      </c>
      <c r="F45" s="233"/>
      <c r="G45" s="6"/>
    </row>
    <row r="46" spans="2:10" ht="15" customHeight="1">
      <c r="B46" s="41" t="s">
        <v>397</v>
      </c>
      <c r="C46" s="182">
        <f>C36+C37+C38+C39</f>
        <v>1745716</v>
      </c>
      <c r="D46" s="183">
        <f t="shared" ref="D46:D47" si="6">IF(E46=0,0,E46/C46)</f>
        <v>0.4</v>
      </c>
      <c r="E46" s="51">
        <f>E36+E37+E38+E39</f>
        <v>698286.4</v>
      </c>
      <c r="F46" s="6"/>
      <c r="G46" s="6"/>
      <c r="H46" s="41" t="s">
        <v>261</v>
      </c>
      <c r="I46" s="184">
        <f>(E44+E24)/D55</f>
        <v>2.9305244413095632</v>
      </c>
      <c r="J46" s="13" t="str">
        <f>IF(I46&lt;1,"Liquidity Problem!","")</f>
        <v/>
      </c>
    </row>
    <row r="47" spans="2:10" ht="15" customHeight="1">
      <c r="B47" s="41" t="s">
        <v>398</v>
      </c>
      <c r="C47" s="182">
        <f>C40+C41+C42</f>
        <v>37224</v>
      </c>
      <c r="D47" s="183">
        <f t="shared" si="6"/>
        <v>0.39089162905652264</v>
      </c>
      <c r="E47" s="51">
        <f>E40+E41+E42</f>
        <v>14550.55</v>
      </c>
      <c r="F47" s="6"/>
      <c r="G47" s="6"/>
      <c r="H47" s="41" t="s">
        <v>265</v>
      </c>
      <c r="I47" s="184">
        <f>(E44+E45+E24+E25)/$I$49</f>
        <v>0.90376712320916763</v>
      </c>
      <c r="J47" s="13" t="str">
        <f>IF(OR(I47&lt;0.5,C49&lt;I49),"Liquidity Problem!","")</f>
        <v/>
      </c>
    </row>
    <row r="48" spans="2:10" ht="15" customHeight="1" thickBot="1">
      <c r="B48" s="308" t="s">
        <v>108</v>
      </c>
      <c r="C48" s="309">
        <f>SUM(C30:C42)</f>
        <v>1836346</v>
      </c>
      <c r="D48" s="310">
        <f>E48/C48</f>
        <v>0.40272364249438836</v>
      </c>
      <c r="E48" s="304">
        <f>SUM(E30:E42)</f>
        <v>739539.95000000007</v>
      </c>
      <c r="F48" s="6"/>
      <c r="G48" s="6"/>
      <c r="H48" s="308" t="s">
        <v>109</v>
      </c>
      <c r="I48" s="311">
        <v>217792</v>
      </c>
      <c r="J48" s="13"/>
    </row>
    <row r="49" spans="2:10" ht="15" customHeight="1" thickTop="1">
      <c r="B49" s="5" t="s">
        <v>379</v>
      </c>
      <c r="C49" s="182">
        <f>SUM(C44:C47)+C28</f>
        <v>8449344</v>
      </c>
      <c r="D49" s="149">
        <f>E49/C49</f>
        <v>0.64931365085857551</v>
      </c>
      <c r="E49" s="51">
        <f>E28+E48</f>
        <v>5486274.3999999994</v>
      </c>
      <c r="F49" s="6"/>
      <c r="G49" s="6"/>
      <c r="H49" s="5" t="s">
        <v>262</v>
      </c>
      <c r="I49" s="130">
        <f>I28+I48</f>
        <v>4362427</v>
      </c>
      <c r="J49" s="6"/>
    </row>
    <row r="50" spans="2:10" ht="15" customHeight="1">
      <c r="C50" s="6"/>
      <c r="D50" s="6"/>
      <c r="E50" s="6"/>
      <c r="I50" s="6"/>
    </row>
    <row r="51" spans="2:10" ht="13.9">
      <c r="B51" s="17" t="s">
        <v>110</v>
      </c>
      <c r="C51" s="17"/>
      <c r="D51" s="31"/>
    </row>
    <row r="52" spans="2:10" ht="13.9">
      <c r="B52" s="105" t="s">
        <v>182</v>
      </c>
      <c r="C52" s="6"/>
      <c r="D52" s="282" t="str">
        <f>IF(E53=D4,"BV of the MI","P/B Approach")</f>
        <v>P/B Approach</v>
      </c>
      <c r="E52" s="6"/>
      <c r="F52" s="6"/>
      <c r="G52" s="6"/>
      <c r="H52" s="6"/>
      <c r="I52" s="6"/>
    </row>
    <row r="53" spans="2:10" ht="13.9">
      <c r="B53" s="5" t="s">
        <v>181</v>
      </c>
      <c r="C53" s="51">
        <f>D4</f>
        <v>50606</v>
      </c>
      <c r="D53" s="54">
        <f>IF(E53=0, 0,E53/C53)</f>
        <v>1.5059217459466303</v>
      </c>
      <c r="E53" s="51">
        <f>MAX(C53,C53*Dashboard!I10)</f>
        <v>76208.675875375178</v>
      </c>
      <c r="F53" s="6"/>
      <c r="G53" s="6"/>
      <c r="H53" s="6"/>
      <c r="I53" s="95"/>
    </row>
    <row r="54" spans="2:10" ht="15" customHeight="1">
      <c r="C54" s="6"/>
      <c r="D54" s="6"/>
      <c r="E54" s="6"/>
      <c r="F54" s="6"/>
      <c r="G54" s="6"/>
      <c r="H54" s="6"/>
      <c r="I54" s="6"/>
    </row>
    <row r="55" spans="2:10" ht="14.25" thickBot="1">
      <c r="B55" s="44" t="s">
        <v>221</v>
      </c>
      <c r="C55" s="5"/>
      <c r="D55" s="376">
        <f>D56+D57+D58</f>
        <v>805276</v>
      </c>
      <c r="E55" s="377"/>
      <c r="F55" s="5"/>
      <c r="G55" s="5"/>
      <c r="H55" s="6"/>
      <c r="I55" s="6"/>
    </row>
    <row r="56" spans="2:10" ht="14.25" thickTop="1">
      <c r="B56" s="37" t="s">
        <v>197</v>
      </c>
      <c r="C56" s="6"/>
      <c r="D56" s="347">
        <f>SUM(I11:I13)+SUM(I30:I32)</f>
        <v>805276</v>
      </c>
      <c r="E56" s="378"/>
      <c r="F56" s="5"/>
      <c r="G56" s="5"/>
      <c r="H56" s="6" t="s">
        <v>263</v>
      </c>
      <c r="I56" s="149">
        <f>D56/I3</f>
        <v>0.1995079170063952</v>
      </c>
    </row>
    <row r="57" spans="2:10" ht="13.9">
      <c r="B57" s="37" t="s">
        <v>112</v>
      </c>
      <c r="C57" s="6"/>
      <c r="D57" s="383">
        <v>0</v>
      </c>
      <c r="E57" s="319"/>
      <c r="F57" s="6" t="s">
        <v>113</v>
      </c>
      <c r="G57" s="6"/>
      <c r="H57" s="6"/>
      <c r="I57" s="6"/>
    </row>
    <row r="58" spans="2:10" ht="12.75" customHeight="1">
      <c r="B58" s="37" t="s">
        <v>111</v>
      </c>
      <c r="C58" s="6"/>
      <c r="D58" s="383">
        <v>0</v>
      </c>
      <c r="E58" s="319"/>
      <c r="F58" s="5" t="s">
        <v>114</v>
      </c>
      <c r="G58" s="5"/>
      <c r="H58" s="6"/>
      <c r="I58" s="6"/>
    </row>
    <row r="59" spans="2:10" ht="15" customHeight="1">
      <c r="C59" s="6"/>
      <c r="D59" s="6"/>
      <c r="E59" s="6"/>
      <c r="F59" s="6"/>
      <c r="G59" s="6"/>
      <c r="H59" s="6"/>
      <c r="I59" s="6"/>
    </row>
    <row r="60" spans="2:10" ht="13.9">
      <c r="B60" s="44" t="s">
        <v>115</v>
      </c>
      <c r="C60" s="5"/>
      <c r="D60" s="283" t="s">
        <v>350</v>
      </c>
      <c r="E60" s="6"/>
      <c r="F60" s="15"/>
      <c r="G60" s="15"/>
      <c r="H60" s="6"/>
      <c r="I60" s="6"/>
    </row>
    <row r="61" spans="2:10" ht="15" customHeight="1">
      <c r="B61" s="32" t="s">
        <v>198</v>
      </c>
      <c r="C61" s="192">
        <f>C14+C15+(C19*G19)+(C20*G20)+C31+C32+(C33*G33)+(C35*G35)+(C36*G36)+(C37*G37)</f>
        <v>53453</v>
      </c>
      <c r="D61" s="149">
        <f>IF(E61=0,0,E61/C61)</f>
        <v>0.5</v>
      </c>
      <c r="E61" s="130">
        <f>E14+E15+(E19*G19)+(E20*G20)+E31+E32+(E33*G33)+(E35*G35)+(E36*G36)+(E37*G37)</f>
        <v>26726.5</v>
      </c>
      <c r="F61" s="6"/>
      <c r="G61" s="6"/>
      <c r="H61" s="6"/>
      <c r="I61" s="6"/>
    </row>
    <row r="62" spans="2:10" ht="13.9">
      <c r="B62" s="32" t="s">
        <v>78</v>
      </c>
      <c r="C62" s="192">
        <f>C11+C12+C30</f>
        <v>2359881</v>
      </c>
      <c r="D62" s="54">
        <f>IF(E62=0,0,E62/C62)</f>
        <v>1</v>
      </c>
      <c r="E62" s="182">
        <f>E11+E12+E30</f>
        <v>2359881</v>
      </c>
      <c r="F62" s="6"/>
      <c r="G62" s="6"/>
      <c r="H62" s="6"/>
      <c r="I62" s="6"/>
    </row>
    <row r="63" spans="2:10" ht="13.9">
      <c r="B63" s="32" t="s">
        <v>116</v>
      </c>
      <c r="C63" s="6"/>
      <c r="D63" s="347">
        <f>((Dashboard!I6*Data!C4)+D55+E53-C61-C62)</f>
        <v>4666182.7379553756</v>
      </c>
      <c r="E63" s="347"/>
      <c r="F63" s="6"/>
      <c r="G63" s="6"/>
      <c r="H63" s="6"/>
      <c r="I63" s="6"/>
    </row>
    <row r="64" spans="2:10" ht="15" customHeight="1">
      <c r="C64" s="6"/>
      <c r="D64" s="6"/>
      <c r="E64" s="6"/>
      <c r="F64" s="6"/>
      <c r="G64" s="6"/>
      <c r="H64" s="6"/>
      <c r="I64" s="6"/>
    </row>
    <row r="65" spans="2:9" ht="15" customHeight="1">
      <c r="B65" s="117" t="s">
        <v>220</v>
      </c>
      <c r="C65" s="6"/>
      <c r="D65" s="6"/>
      <c r="E65" s="6"/>
      <c r="F65" s="6"/>
      <c r="G65" s="6"/>
      <c r="H65" s="6"/>
      <c r="I65" s="6"/>
    </row>
    <row r="66" spans="2:9" ht="15" customHeight="1">
      <c r="B66" s="3" t="s">
        <v>223</v>
      </c>
      <c r="C66" s="6"/>
      <c r="D66" s="381">
        <f>((C28-C11-C12-C14-C15-C16*G16-C19*G19-C20*G20)-I28)/Data!C7</f>
        <v>1.0112977915964591E-2</v>
      </c>
      <c r="E66" s="382"/>
      <c r="F66" s="6"/>
      <c r="G66" s="6"/>
      <c r="H66" s="6"/>
      <c r="I66" s="6"/>
    </row>
    <row r="67" spans="2:9" ht="15" customHeight="1">
      <c r="B67" s="3" t="s">
        <v>222</v>
      </c>
      <c r="C67" s="6"/>
      <c r="D67" s="379">
        <v>0.34289999999999998</v>
      </c>
      <c r="E67" s="380"/>
      <c r="F67" s="109" t="s">
        <v>209</v>
      </c>
      <c r="G67" s="6"/>
      <c r="H67" s="6"/>
      <c r="I67" s="6"/>
    </row>
    <row r="68" spans="2:9" ht="15" customHeight="1">
      <c r="B68" s="117" t="s">
        <v>224</v>
      </c>
      <c r="C68" s="6"/>
      <c r="D68" s="379">
        <v>0.34289999999999998</v>
      </c>
      <c r="E68" s="380"/>
      <c r="F68" s="6"/>
      <c r="G68" s="6"/>
      <c r="H68" s="6"/>
      <c r="I68" s="6"/>
    </row>
  </sheetData>
  <mergeCells count="8">
    <mergeCell ref="D55:E55"/>
    <mergeCell ref="D56:E56"/>
    <mergeCell ref="D67:E67"/>
    <mergeCell ref="D68:E68"/>
    <mergeCell ref="D66:E66"/>
    <mergeCell ref="D63:E63"/>
    <mergeCell ref="D57:E57"/>
    <mergeCell ref="D58:E58"/>
  </mergeCells>
  <phoneticPr fontId="31" type="noConversion"/>
  <dataValidations disablePrompts="1" count="3">
    <dataValidation allowBlank="1" sqref="D52" xr:uid="{00000000-0002-0000-0200-000000000000}"/>
    <dataValidation type="list" allowBlank="1" showInputMessage="1" showErrorMessage="1" sqref="F35:F37 F19:F20 F16 F33" xr:uid="{DBDA56F9-BDA2-428A-9035-F60711F90E5E}">
      <formula1>"Y,N"</formula1>
    </dataValidation>
    <dataValidation type="list" allowBlank="1" showInputMessage="1" showErrorMessage="1" sqref="E9" xr:uid="{147BCDA5-0590-46F5-AA62-0B27DE6FA745}">
      <formula1>"FY, Quarter"</formula1>
    </dataValidation>
  </dataValidations>
  <hyperlinks>
    <hyperlink ref="F67" r:id="rId1" xr:uid="{3715D1BE-6062-4B03-8547-E8B4F4F81508}"/>
  </hyperlinks>
  <pageMargins left="0.25" right="0.25" top="0.75" bottom="0.75" header="0.3" footer="0.3"/>
  <pageSetup scale="71"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D481AE-0B58-461D-BD19-777F57D3486C}">
  <sheetPr>
    <outlinePr summaryBelow="0" summaryRight="0"/>
  </sheetPr>
  <dimension ref="A1:L879"/>
  <sheetViews>
    <sheetView showGridLines="0" zoomScaleNormal="100" zoomScalePageLayoutView="80" workbookViewId="0">
      <selection activeCell="I21" sqref="I21"/>
    </sheetView>
  </sheetViews>
  <sheetFormatPr defaultColWidth="12.46484375" defaultRowHeight="15" customHeight="1"/>
  <cols>
    <col min="1" max="1" width="2.46484375" style="3" customWidth="1"/>
    <col min="2" max="5" width="26.796875" style="3" customWidth="1"/>
    <col min="6" max="9" width="22.73046875" style="3" customWidth="1"/>
    <col min="10" max="10" width="2.46484375" style="3" customWidth="1"/>
    <col min="11" max="11" width="87.46484375" style="3" customWidth="1"/>
    <col min="12" max="16384" width="12.46484375" style="3"/>
  </cols>
  <sheetData>
    <row r="1" spans="1:12" ht="15" customHeight="1">
      <c r="F1" s="6"/>
      <c r="G1" s="6"/>
      <c r="H1" s="6"/>
    </row>
    <row r="2" spans="1:12" ht="15.5" customHeight="1">
      <c r="A2" s="4"/>
      <c r="B2" s="56" t="s">
        <v>208</v>
      </c>
      <c r="C2" s="56"/>
      <c r="D2" s="56"/>
      <c r="E2" s="316">
        <f>IF(I3="",IF(H3="",1,2),3)</f>
        <v>1</v>
      </c>
      <c r="F2" s="115" t="s">
        <v>218</v>
      </c>
      <c r="G2" s="115">
        <v>1</v>
      </c>
      <c r="H2" s="115">
        <v>2</v>
      </c>
      <c r="I2" s="115">
        <v>3</v>
      </c>
      <c r="J2" s="12"/>
      <c r="K2" s="12"/>
    </row>
    <row r="3" spans="1:12" ht="15.75" customHeight="1">
      <c r="B3" s="21" t="str">
        <f>Val_Models!B3</f>
        <v>(Numbers in 1000HKD)</v>
      </c>
      <c r="C3" s="194">
        <f>EOMONTH(EDATE(D3,-12),0)</f>
        <v>43830</v>
      </c>
      <c r="D3" s="194">
        <f>EOMONTH(EDATE(E3,-12),0)</f>
        <v>44196</v>
      </c>
      <c r="E3" s="194">
        <f>EOMONTH(EDATE(F3,-12),0)</f>
        <v>44561</v>
      </c>
      <c r="F3" s="194">
        <f>Dashboard!E6</f>
        <v>44926</v>
      </c>
      <c r="G3" s="194">
        <f>EOMONTH(EDATE(F3,12),0)</f>
        <v>45291</v>
      </c>
      <c r="H3" s="194" t="str">
        <f>IF(H10="","",EOMONTH(EDATE(G3,12),0))</f>
        <v/>
      </c>
      <c r="I3" s="194" t="str">
        <f>IF(I17="","",EOMONTH(EDATE(H3,12),0))</f>
        <v/>
      </c>
      <c r="K3" s="42" t="s">
        <v>117</v>
      </c>
    </row>
    <row r="4" spans="1:12" ht="15.75" customHeight="1">
      <c r="B4" s="118" t="s">
        <v>403</v>
      </c>
      <c r="C4" s="205">
        <v>1600216</v>
      </c>
      <c r="D4" s="205">
        <v>2562909</v>
      </c>
      <c r="E4" s="205">
        <v>5067853</v>
      </c>
      <c r="F4" s="205">
        <v>7494766</v>
      </c>
      <c r="G4" s="205">
        <f>(3706212*1.08)*2</f>
        <v>8005417.9200000009</v>
      </c>
      <c r="H4" s="206"/>
      <c r="I4" s="206"/>
      <c r="J4" s="6"/>
      <c r="K4" s="43" t="s">
        <v>407</v>
      </c>
      <c r="L4" s="36"/>
    </row>
    <row r="5" spans="1:12" ht="15.75" customHeight="1">
      <c r="B5" s="118" t="s">
        <v>404</v>
      </c>
      <c r="C5" s="196">
        <v>1306273</v>
      </c>
      <c r="D5" s="196">
        <v>1152691</v>
      </c>
      <c r="E5" s="196">
        <v>1440522</v>
      </c>
      <c r="F5" s="196">
        <v>1607278</v>
      </c>
      <c r="G5" s="196">
        <f>(768202*0.95)*2</f>
        <v>1459583.8</v>
      </c>
      <c r="H5" s="197"/>
      <c r="I5" s="197"/>
      <c r="J5" s="6"/>
      <c r="K5" s="43"/>
      <c r="L5" s="36"/>
    </row>
    <row r="6" spans="1:12" ht="15.75" customHeight="1">
      <c r="B6" s="118" t="s">
        <v>405</v>
      </c>
      <c r="C6" s="196">
        <v>204561</v>
      </c>
      <c r="D6" s="196">
        <v>207215</v>
      </c>
      <c r="E6" s="196">
        <v>435503</v>
      </c>
      <c r="F6" s="196">
        <v>680320</v>
      </c>
      <c r="G6" s="196">
        <f>(351245*1.1)*2</f>
        <v>772739.00000000012</v>
      </c>
      <c r="H6" s="197"/>
      <c r="I6" s="197"/>
      <c r="J6" s="6"/>
      <c r="K6" s="43"/>
      <c r="L6" s="36"/>
    </row>
    <row r="7" spans="1:12" ht="15.75" customHeight="1">
      <c r="B7" s="118" t="s">
        <v>406</v>
      </c>
      <c r="C7" s="196">
        <v>127850</v>
      </c>
      <c r="D7" s="196">
        <v>263079</v>
      </c>
      <c r="E7" s="196">
        <v>334185</v>
      </c>
      <c r="F7" s="196">
        <v>543408</v>
      </c>
      <c r="G7" s="196">
        <f>(170734*0.9)*2</f>
        <v>307321.2</v>
      </c>
      <c r="H7" s="197"/>
      <c r="I7" s="197"/>
      <c r="J7" s="6"/>
      <c r="K7" s="43"/>
      <c r="L7" s="36"/>
    </row>
    <row r="8" spans="1:12" ht="15.75" customHeight="1">
      <c r="B8" s="118" t="s">
        <v>355</v>
      </c>
      <c r="C8" s="196">
        <v>335078</v>
      </c>
      <c r="D8" s="196">
        <v>341020</v>
      </c>
      <c r="E8" s="196">
        <v>459880</v>
      </c>
      <c r="F8" s="196">
        <v>396589</v>
      </c>
      <c r="G8" s="196">
        <f>(213824*0.8)*2</f>
        <v>342118.40000000002</v>
      </c>
      <c r="H8" s="197"/>
      <c r="I8" s="197"/>
      <c r="J8" s="6"/>
      <c r="K8" s="43"/>
      <c r="L8" s="36"/>
    </row>
    <row r="9" spans="1:12" ht="15.75" customHeight="1">
      <c r="B9" s="5" t="s">
        <v>118</v>
      </c>
      <c r="C9" s="198">
        <f>Data!F7</f>
        <v>3573978</v>
      </c>
      <c r="D9" s="198">
        <f>Data!E7</f>
        <v>4526914</v>
      </c>
      <c r="E9" s="198">
        <f>Data!D7</f>
        <v>7737943</v>
      </c>
      <c r="F9" s="198">
        <f>Data!C7</f>
        <v>10722361</v>
      </c>
      <c r="G9" s="200">
        <f>SUM(G4:G8)</f>
        <v>10887180.32</v>
      </c>
      <c r="H9" s="200"/>
      <c r="I9" s="201"/>
      <c r="J9" s="6"/>
      <c r="K9" s="43"/>
      <c r="L9" s="36"/>
    </row>
    <row r="10" spans="1:12" ht="15.75" customHeight="1">
      <c r="B10" s="14" t="s">
        <v>357</v>
      </c>
      <c r="C10" s="285"/>
      <c r="D10" s="171">
        <f>D9/C9-1</f>
        <v>0.266631747593298</v>
      </c>
      <c r="E10" s="171">
        <f>E9/D9-1</f>
        <v>0.70931963805806775</v>
      </c>
      <c r="F10" s="171">
        <f>Data!C8</f>
        <v>0.38568622177754475</v>
      </c>
      <c r="G10" s="149">
        <f>G9/F9-1</f>
        <v>1.5371551097747904E-2</v>
      </c>
      <c r="H10" s="149"/>
      <c r="I10" s="180"/>
      <c r="J10" s="6"/>
      <c r="K10" s="43"/>
      <c r="L10" s="36"/>
    </row>
    <row r="11" spans="1:12" ht="15.75" customHeight="1">
      <c r="B11" s="8" t="s">
        <v>119</v>
      </c>
      <c r="C11" s="202">
        <f>Data!F9</f>
        <v>3214958</v>
      </c>
      <c r="D11" s="202">
        <f>Data!E9</f>
        <v>4204600</v>
      </c>
      <c r="E11" s="202">
        <f>Data!D9</f>
        <v>7340712</v>
      </c>
      <c r="F11" s="202">
        <f>Data!C9</f>
        <v>10136404</v>
      </c>
      <c r="G11" s="203">
        <f>(4650060+403099+85721)*2</f>
        <v>10277760</v>
      </c>
      <c r="H11" s="204" t="str">
        <f>IF(H9="","",H9*(1-H12))</f>
        <v/>
      </c>
      <c r="I11" s="204" t="str">
        <f>IF(I9="","",I9*(1-I12))</f>
        <v/>
      </c>
      <c r="J11" s="6"/>
      <c r="K11" s="77"/>
      <c r="L11" s="1"/>
    </row>
    <row r="12" spans="1:12" ht="15.75" customHeight="1">
      <c r="B12" s="14" t="s">
        <v>44</v>
      </c>
      <c r="C12" s="96">
        <f t="shared" ref="C12:E12" si="0">(C9-C11)/C9</f>
        <v>0.10045389199373919</v>
      </c>
      <c r="D12" s="96">
        <f t="shared" si="0"/>
        <v>7.1199497052517449E-2</v>
      </c>
      <c r="E12" s="96">
        <f t="shared" si="0"/>
        <v>5.1335477658597382E-2</v>
      </c>
      <c r="F12" s="96">
        <f>(F9-F11)/F9</f>
        <v>5.4648132067181845E-2</v>
      </c>
      <c r="G12" s="208">
        <f>(G9-G11)/G9</f>
        <v>5.5975955397788456E-2</v>
      </c>
      <c r="H12" s="208"/>
      <c r="I12" s="208"/>
      <c r="J12" s="6"/>
      <c r="K12" s="43"/>
    </row>
    <row r="13" spans="1:12" ht="15.75" customHeight="1">
      <c r="B13" s="5" t="s">
        <v>356</v>
      </c>
      <c r="C13" s="51">
        <f>C9-C11</f>
        <v>359020</v>
      </c>
      <c r="D13" s="51">
        <f t="shared" ref="D13:E13" si="1">D9-D11</f>
        <v>322314</v>
      </c>
      <c r="E13" s="51">
        <f t="shared" si="1"/>
        <v>397231</v>
      </c>
      <c r="F13" s="51">
        <f>F9-F11</f>
        <v>585957</v>
      </c>
      <c r="G13" s="51">
        <f>G9-G11</f>
        <v>609420.3200000003</v>
      </c>
      <c r="H13" s="51" t="str">
        <f>IF(H10="","",H9-H11)</f>
        <v/>
      </c>
      <c r="I13" s="51" t="str">
        <f>IF(I10="","",I9-I11)</f>
        <v/>
      </c>
      <c r="J13" s="6"/>
      <c r="K13" s="43"/>
    </row>
    <row r="14" spans="1:12" ht="15.75" customHeight="1">
      <c r="B14" s="14" t="s">
        <v>46</v>
      </c>
      <c r="C14" s="54">
        <f>C15/C9</f>
        <v>7.6004385029790331E-2</v>
      </c>
      <c r="D14" s="54">
        <f t="shared" ref="D14:E14" si="2">D15/D9</f>
        <v>5.0511231271457777E-2</v>
      </c>
      <c r="E14" s="54">
        <f t="shared" si="2"/>
        <v>4.6455886273651797E-2</v>
      </c>
      <c r="F14" s="54">
        <f>F15/F9</f>
        <v>4.1457940093604387E-2</v>
      </c>
      <c r="G14" s="207">
        <f>F14</f>
        <v>4.1457940093604387E-2</v>
      </c>
      <c r="H14" s="180"/>
      <c r="I14" s="180"/>
      <c r="J14" s="6"/>
      <c r="K14" s="43"/>
    </row>
    <row r="15" spans="1:12" ht="15.75" customHeight="1">
      <c r="B15" s="8" t="s">
        <v>120</v>
      </c>
      <c r="C15" s="198">
        <f>Data!F11</f>
        <v>271638</v>
      </c>
      <c r="D15" s="198">
        <f>Data!E11</f>
        <v>228660</v>
      </c>
      <c r="E15" s="198">
        <f>Data!D11</f>
        <v>359473</v>
      </c>
      <c r="F15" s="198">
        <f>Data!C11</f>
        <v>444527</v>
      </c>
      <c r="G15" s="161">
        <f>207908*2</f>
        <v>415816</v>
      </c>
      <c r="H15" s="161"/>
      <c r="I15" s="161"/>
      <c r="J15" s="6"/>
      <c r="K15" s="43"/>
    </row>
    <row r="16" spans="1:12" ht="15.75" customHeight="1">
      <c r="B16" s="14" t="s">
        <v>47</v>
      </c>
      <c r="C16" s="166">
        <f t="shared" ref="C16:E16" si="3">C18/C9</f>
        <v>2.4449506963948854E-2</v>
      </c>
      <c r="D16" s="166">
        <f t="shared" si="3"/>
        <v>2.068826578105968E-2</v>
      </c>
      <c r="E16" s="166">
        <f t="shared" si="3"/>
        <v>4.8795913849455858E-3</v>
      </c>
      <c r="F16" s="166">
        <f>F18/F9</f>
        <v>1.319019197357746E-2</v>
      </c>
      <c r="G16" s="166">
        <f>G18/G9</f>
        <v>1.7782778856371535E-2</v>
      </c>
      <c r="H16" s="166" t="str">
        <f>IF(H10="","",H18/H9)</f>
        <v/>
      </c>
      <c r="I16" s="166" t="str">
        <f>IF(I10="","",I18/I9)</f>
        <v/>
      </c>
      <c r="J16" s="6"/>
      <c r="K16" s="43"/>
      <c r="L16" s="36"/>
    </row>
    <row r="17" spans="2:12" ht="15.75" customHeight="1">
      <c r="B17" s="14" t="s">
        <v>121</v>
      </c>
      <c r="C17" s="285"/>
      <c r="D17" s="171">
        <f t="shared" ref="D17:E17" si="4">D18/C18-1</f>
        <v>7.1776796136504117E-2</v>
      </c>
      <c r="E17" s="171">
        <f t="shared" si="4"/>
        <v>-0.59683515920302388</v>
      </c>
      <c r="F17" s="171">
        <f>F18/E18-1</f>
        <v>2.7456962762858201</v>
      </c>
      <c r="G17" s="149">
        <f>IF(ABS(F18+G18)=ABS(F18)+ABS(G18),IF(G18&lt;0,-1,1)*(G18-F18)/F18,"Turn")</f>
        <v>0.36890560701407266</v>
      </c>
      <c r="H17" s="149" t="str">
        <f>IF(H10="","",IF(ABS(G18+H18)=ABS(G18)+ABS(H18),IF(H18&lt;0,-1,1)*(H18-G18)/G18,"Turn"))</f>
        <v/>
      </c>
      <c r="I17" s="149" t="str">
        <f>IF(I10="","",IF(ABS(H18+I18)=ABS(H18)+ABS(I18),IF(I18&lt;0,-1,1)*(I18-H18)/H18,"Turn"))</f>
        <v/>
      </c>
      <c r="J17" s="6"/>
      <c r="K17" s="45"/>
      <c r="L17" s="46"/>
    </row>
    <row r="18" spans="2:12" ht="15.75" customHeight="1">
      <c r="B18" s="5" t="s">
        <v>207</v>
      </c>
      <c r="C18" s="154">
        <f t="shared" ref="C18:D18" si="5">C13-C15</f>
        <v>87382</v>
      </c>
      <c r="D18" s="154">
        <f t="shared" si="5"/>
        <v>93654</v>
      </c>
      <c r="E18" s="154">
        <f>E13-E15</f>
        <v>37758</v>
      </c>
      <c r="F18" s="154">
        <f>F13-F15</f>
        <v>141430</v>
      </c>
      <c r="G18" s="154">
        <f>G13-G15</f>
        <v>193604.3200000003</v>
      </c>
      <c r="H18" s="154" t="str">
        <f>IF(H10="","",H13-H15)</f>
        <v/>
      </c>
      <c r="I18" s="154" t="str">
        <f>IF(I10="","",I13-I15)</f>
        <v/>
      </c>
      <c r="J18" s="6"/>
      <c r="K18" s="47"/>
      <c r="L18" s="35"/>
    </row>
    <row r="19" spans="2:12" ht="15.75" customHeight="1">
      <c r="B19" s="209" t="s">
        <v>122</v>
      </c>
      <c r="C19" s="284"/>
      <c r="D19" s="284"/>
      <c r="E19" s="284"/>
      <c r="F19" s="211">
        <v>0.25</v>
      </c>
      <c r="G19" s="166">
        <f>IF(G18="","",F19)</f>
        <v>0.25</v>
      </c>
      <c r="H19" s="166" t="str">
        <f>IF(H18="","",G19)</f>
        <v/>
      </c>
      <c r="I19" s="166" t="str">
        <f>IF(I18="","",H19)</f>
        <v/>
      </c>
      <c r="K19" s="43"/>
    </row>
    <row r="20" spans="2:12" ht="15.75" customHeight="1">
      <c r="B20" s="14" t="s">
        <v>253</v>
      </c>
      <c r="C20" s="285"/>
      <c r="D20" s="285"/>
      <c r="E20" s="285"/>
      <c r="F20" s="171">
        <f>F21/F9</f>
        <v>9.8926439801830957E-3</v>
      </c>
      <c r="G20" s="149">
        <f>G21/G9</f>
        <v>1.3337084142278651E-2</v>
      </c>
      <c r="H20" s="149" t="str">
        <f>IF(H9="","",H21/H9)</f>
        <v/>
      </c>
      <c r="I20" s="149" t="str">
        <f>IF(I9="","",I21/I9)</f>
        <v/>
      </c>
    </row>
    <row r="21" spans="2:12" ht="15.75" customHeight="1">
      <c r="B21" s="85" t="s">
        <v>69</v>
      </c>
      <c r="C21" s="286"/>
      <c r="D21" s="286"/>
      <c r="E21" s="286"/>
      <c r="F21" s="51">
        <f>IF(F18&lt;=0,F18,F18*(1-F19))</f>
        <v>106072.5</v>
      </c>
      <c r="G21" s="210">
        <f>IF(G18="","",IF(G18&lt;=0,G18,G18*(1-G19)))</f>
        <v>145203.24000000022</v>
      </c>
      <c r="H21" s="210" t="str">
        <f>IF(H18="","",IF(H18&lt;=0,H18,H18*(1-H19)))</f>
        <v/>
      </c>
      <c r="I21" s="210" t="str">
        <f>IF(I18="","",IF(I18&lt;=0,I18,I18*(1-I19)))</f>
        <v/>
      </c>
    </row>
    <row r="22" spans="2:12" ht="15.75" customHeight="1">
      <c r="B22" s="14" t="s">
        <v>342</v>
      </c>
      <c r="C22" s="287"/>
      <c r="D22" s="287"/>
      <c r="E22" s="287"/>
      <c r="F22" s="212">
        <f>Data!C35</f>
        <v>1023356.9321999999</v>
      </c>
      <c r="G22" s="213">
        <f>IF(G10&lt;=0,0,(G9-F9)*Asset_Model!$D$67)</f>
        <v>56516.5448280001</v>
      </c>
      <c r="H22" s="213" t="str">
        <f>IF(H9="","",IF(H10&lt;=0,0,(H9-G9)*Asset_Model!$D$67))</f>
        <v/>
      </c>
      <c r="I22" s="213" t="str">
        <f>IF(I9="","",IF(I10&lt;=0,0,(I9-H9)*Asset_Model!$D$67))</f>
        <v/>
      </c>
    </row>
    <row r="23" spans="2:12" ht="15.75" customHeight="1">
      <c r="B23" s="14" t="s">
        <v>344</v>
      </c>
      <c r="C23" s="288"/>
      <c r="D23" s="288"/>
      <c r="E23" s="288"/>
      <c r="F23" s="95">
        <f>Data!C33</f>
        <v>1176000</v>
      </c>
      <c r="G23" s="161">
        <v>260000</v>
      </c>
      <c r="H23" s="161"/>
      <c r="I23" s="161" t="str">
        <f>IF(I16="","",IF(ABS(H24+I24)=ABS(H24)+ABS(I24),IF(I24&lt;0,-1,1)*(I24-H24)/H24,"Turn"))</f>
        <v/>
      </c>
    </row>
    <row r="24" spans="2:12" ht="15.75" customHeight="1">
      <c r="B24" s="85" t="s">
        <v>347</v>
      </c>
      <c r="C24" s="289"/>
      <c r="D24" s="289"/>
      <c r="E24" s="289"/>
      <c r="F24" s="214">
        <f>F22+F23</f>
        <v>2199356.9321999997</v>
      </c>
      <c r="G24" s="214">
        <f>IF(G16="","",G22+G23)</f>
        <v>316516.54482800013</v>
      </c>
      <c r="H24" s="214" t="str">
        <f>IF(H16="","",H22+H23)</f>
        <v/>
      </c>
      <c r="I24" s="214" t="str">
        <f>IF(I16="","",I22+I23)</f>
        <v/>
      </c>
    </row>
    <row r="25" spans="2:12" ht="15.75" customHeight="1">
      <c r="B25" s="14" t="s">
        <v>336</v>
      </c>
      <c r="C25" s="285"/>
      <c r="D25" s="285"/>
      <c r="E25" s="285"/>
      <c r="F25" s="171">
        <f>AVERAGE(Data!C54:E54)</f>
        <v>2.6497863572380802E-2</v>
      </c>
      <c r="G25" s="384"/>
      <c r="H25" s="385"/>
      <c r="I25" s="386"/>
    </row>
    <row r="26" spans="2:12" ht="15.75" customHeight="1">
      <c r="B26" s="84" t="s">
        <v>123</v>
      </c>
      <c r="C26" s="289"/>
      <c r="D26" s="289"/>
      <c r="E26" s="289"/>
      <c r="F26" s="214">
        <f>F21-F24</f>
        <v>-2093284.4321999997</v>
      </c>
      <c r="G26" s="214">
        <f>G21-G24</f>
        <v>-171313.30482799991</v>
      </c>
      <c r="H26" s="214" t="str">
        <f>IF(H21="","",H21-H24)</f>
        <v/>
      </c>
      <c r="I26" s="214" t="str">
        <f>IF(I21="","",I21-I24)</f>
        <v/>
      </c>
    </row>
    <row r="27" spans="2:12" ht="15.75" customHeight="1"/>
    <row r="28" spans="2:12" ht="15.75" customHeight="1"/>
    <row r="29" spans="2:12" ht="15.75" customHeight="1"/>
    <row r="30" spans="2:12" ht="15.75" customHeight="1"/>
    <row r="31" spans="2:12" ht="15.75" customHeight="1"/>
    <row r="32" spans="2:1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</sheetData>
  <mergeCells count="1">
    <mergeCell ref="G25:I25"/>
  </mergeCells>
  <phoneticPr fontId="31" type="noConversion"/>
  <conditionalFormatting sqref="G19:G21">
    <cfRule type="containsBlanks" dxfId="11" priority="18">
      <formula>LEN(TRIM(G19))=0</formula>
    </cfRule>
  </conditionalFormatting>
  <conditionalFormatting sqref="G25">
    <cfRule type="containsBlanks" dxfId="10" priority="7">
      <formula>LEN(TRIM(G25))=0</formula>
    </cfRule>
  </conditionalFormatting>
  <conditionalFormatting sqref="H11:H14 H16:H18">
    <cfRule type="containsBlanks" priority="27">
      <formula>LEN(TRIM(H11))=0</formula>
    </cfRule>
  </conditionalFormatting>
  <conditionalFormatting sqref="H11:H24">
    <cfRule type="containsBlanks" dxfId="9" priority="26">
      <formula>LEN(TRIM(H11))=0</formula>
    </cfRule>
  </conditionalFormatting>
  <conditionalFormatting sqref="H21:I21">
    <cfRule type="containsBlanks" dxfId="8" priority="20">
      <formula>LEN(TRIM(H21))=0</formula>
    </cfRule>
  </conditionalFormatting>
  <conditionalFormatting sqref="H22:I24 H26:I26">
    <cfRule type="containsBlanks" dxfId="7" priority="8">
      <formula>LEN(TRIM(H22))=0</formula>
    </cfRule>
    <cfRule type="containsBlanks" priority="9">
      <formula>LEN(TRIM(H22))=0</formula>
    </cfRule>
  </conditionalFormatting>
  <conditionalFormatting sqref="I10:I18">
    <cfRule type="containsBlanks" priority="23">
      <formula>LEN(TRIM(I10))=0</formula>
    </cfRule>
  </conditionalFormatting>
  <conditionalFormatting sqref="I10:I24">
    <cfRule type="containsBlanks" dxfId="6" priority="22">
      <formula>LEN(TRIM(I10))=0</formula>
    </cfRule>
  </conditionalFormatting>
  <pageMargins left="0.7" right="0.7" top="0.75" bottom="0.75" header="0" footer="0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47FE51-02F8-43AE-9637-7A64EC664BCA}">
  <dimension ref="B18:S125"/>
  <sheetViews>
    <sheetView showGridLines="0" zoomScale="88" workbookViewId="0">
      <selection activeCell="P98" sqref="P98"/>
    </sheetView>
  </sheetViews>
  <sheetFormatPr defaultRowHeight="12.75"/>
  <cols>
    <col min="1" max="1" width="5" customWidth="1"/>
    <col min="2" max="2" width="23.33203125" customWidth="1"/>
    <col min="3" max="7" width="13.33203125" customWidth="1"/>
    <col min="8" max="19" width="12.59765625" customWidth="1"/>
  </cols>
  <sheetData>
    <row r="18" spans="2:19" ht="15">
      <c r="C18" s="291">
        <f t="shared" ref="C18:G18" si="0">D18-1</f>
        <v>2012</v>
      </c>
      <c r="D18" s="291">
        <f t="shared" si="0"/>
        <v>2013</v>
      </c>
      <c r="E18" s="291">
        <f t="shared" si="0"/>
        <v>2014</v>
      </c>
      <c r="F18" s="291">
        <f t="shared" si="0"/>
        <v>2015</v>
      </c>
      <c r="G18" s="291">
        <f t="shared" si="0"/>
        <v>2016</v>
      </c>
      <c r="H18" s="291">
        <f t="shared" ref="H18:K18" si="1">I18-1</f>
        <v>2017</v>
      </c>
      <c r="I18" s="291">
        <f t="shared" si="1"/>
        <v>2018</v>
      </c>
      <c r="J18" s="291">
        <f t="shared" si="1"/>
        <v>2019</v>
      </c>
      <c r="K18" s="291">
        <f t="shared" si="1"/>
        <v>2020</v>
      </c>
      <c r="L18" s="291">
        <f>M18-1</f>
        <v>2021</v>
      </c>
      <c r="M18" s="291">
        <v>2022</v>
      </c>
      <c r="N18" s="290"/>
      <c r="O18" s="290"/>
      <c r="P18" s="290"/>
      <c r="Q18" s="290"/>
      <c r="R18" s="290"/>
      <c r="S18" s="290"/>
    </row>
    <row r="19" spans="2:19" ht="13.9">
      <c r="B19" s="3" t="s">
        <v>403</v>
      </c>
      <c r="C19" s="314"/>
      <c r="D19" s="314"/>
      <c r="E19" s="314"/>
      <c r="F19" s="314"/>
      <c r="G19" s="314"/>
      <c r="H19" s="314"/>
      <c r="I19" s="314"/>
      <c r="J19" s="314">
        <v>1600216</v>
      </c>
      <c r="K19" s="314">
        <v>2562909</v>
      </c>
      <c r="L19" s="314">
        <v>5067853</v>
      </c>
      <c r="M19" s="314">
        <v>7494766</v>
      </c>
    </row>
    <row r="20" spans="2:19" ht="13.9">
      <c r="B20" s="3" t="s">
        <v>404</v>
      </c>
      <c r="C20" s="314"/>
      <c r="D20" s="314"/>
      <c r="E20" s="314"/>
      <c r="F20" s="314"/>
      <c r="G20" s="314"/>
      <c r="H20" s="314"/>
      <c r="I20" s="314"/>
      <c r="J20" s="314">
        <v>1306273</v>
      </c>
      <c r="K20" s="314">
        <v>1152691</v>
      </c>
      <c r="L20" s="314">
        <v>1440522</v>
      </c>
      <c r="M20" s="314">
        <v>1607278</v>
      </c>
    </row>
    <row r="21" spans="2:19" ht="13.9">
      <c r="B21" s="3" t="s">
        <v>405</v>
      </c>
      <c r="C21" s="314"/>
      <c r="D21" s="314"/>
      <c r="E21" s="314"/>
      <c r="F21" s="314"/>
      <c r="G21" s="314"/>
      <c r="H21" s="314"/>
      <c r="I21" s="314"/>
      <c r="J21" s="314">
        <v>204561</v>
      </c>
      <c r="K21" s="314">
        <v>207215</v>
      </c>
      <c r="L21" s="314">
        <v>435503</v>
      </c>
      <c r="M21" s="314">
        <v>680320</v>
      </c>
    </row>
    <row r="22" spans="2:19" ht="13.9">
      <c r="B22" s="3" t="s">
        <v>406</v>
      </c>
      <c r="C22" s="314"/>
      <c r="D22" s="314"/>
      <c r="E22" s="314"/>
      <c r="F22" s="314"/>
      <c r="G22" s="314"/>
      <c r="H22" s="314"/>
      <c r="I22" s="314"/>
      <c r="J22" s="314">
        <v>127850</v>
      </c>
      <c r="K22" s="314">
        <v>263079</v>
      </c>
      <c r="L22" s="314">
        <v>334185</v>
      </c>
      <c r="M22" s="314">
        <v>543408</v>
      </c>
    </row>
    <row r="23" spans="2:19" ht="13.9">
      <c r="B23" s="3" t="s">
        <v>355</v>
      </c>
      <c r="C23" s="314"/>
      <c r="D23" s="314"/>
      <c r="E23" s="314"/>
      <c r="F23" s="314"/>
      <c r="G23" s="314"/>
      <c r="H23" s="314"/>
      <c r="I23" s="314"/>
      <c r="J23" s="314">
        <v>335078</v>
      </c>
      <c r="K23" s="314">
        <v>341020</v>
      </c>
      <c r="L23" s="314">
        <v>459880</v>
      </c>
      <c r="M23" s="314">
        <v>396589</v>
      </c>
    </row>
    <row r="24" spans="2:19">
      <c r="B24" s="292"/>
      <c r="C24" s="294"/>
      <c r="D24" s="294"/>
      <c r="E24" s="294"/>
      <c r="F24" s="294"/>
      <c r="G24" s="294"/>
      <c r="H24" s="295"/>
      <c r="I24" s="295"/>
      <c r="J24" s="295"/>
      <c r="K24" s="295"/>
      <c r="L24" s="295"/>
      <c r="M24" s="295"/>
    </row>
    <row r="25" spans="2:19">
      <c r="B25" s="292"/>
      <c r="C25" s="293"/>
      <c r="D25" s="296"/>
      <c r="E25" s="296"/>
      <c r="F25" s="296"/>
      <c r="G25" s="296"/>
      <c r="H25" s="296"/>
      <c r="I25" s="296"/>
      <c r="J25" s="296"/>
      <c r="K25" s="296"/>
      <c r="L25" s="296"/>
      <c r="M25" s="296"/>
    </row>
    <row r="26" spans="2:19">
      <c r="C26" s="293"/>
      <c r="D26" s="293"/>
      <c r="E26" s="293"/>
      <c r="F26" s="293"/>
      <c r="G26" s="293"/>
      <c r="H26" s="293"/>
      <c r="I26" s="293"/>
      <c r="J26" s="293"/>
      <c r="K26" s="293"/>
      <c r="L26" s="293"/>
      <c r="M26" s="293"/>
    </row>
    <row r="46" spans="2:13" ht="13.15">
      <c r="B46" s="297" t="s">
        <v>358</v>
      </c>
    </row>
    <row r="47" spans="2:13" ht="15">
      <c r="C47" s="291">
        <f t="shared" ref="C47:M47" si="2">C18</f>
        <v>2012</v>
      </c>
      <c r="D47" s="291">
        <f t="shared" si="2"/>
        <v>2013</v>
      </c>
      <c r="E47" s="291">
        <f t="shared" si="2"/>
        <v>2014</v>
      </c>
      <c r="F47" s="291">
        <f t="shared" si="2"/>
        <v>2015</v>
      </c>
      <c r="G47" s="291">
        <f t="shared" si="2"/>
        <v>2016</v>
      </c>
      <c r="H47" s="291">
        <f t="shared" si="2"/>
        <v>2017</v>
      </c>
      <c r="I47" s="291">
        <f t="shared" si="2"/>
        <v>2018</v>
      </c>
      <c r="J47" s="291">
        <f t="shared" si="2"/>
        <v>2019</v>
      </c>
      <c r="K47" s="291">
        <f t="shared" si="2"/>
        <v>2020</v>
      </c>
      <c r="L47" s="291">
        <f t="shared" si="2"/>
        <v>2021</v>
      </c>
      <c r="M47" s="291">
        <f t="shared" si="2"/>
        <v>2022</v>
      </c>
    </row>
    <row r="48" spans="2:13">
      <c r="B48" s="292"/>
      <c r="C48" s="296"/>
      <c r="D48" s="296"/>
      <c r="E48" s="296"/>
      <c r="F48" s="296"/>
      <c r="G48" s="296"/>
      <c r="H48" s="296"/>
      <c r="I48" s="296"/>
      <c r="J48" s="296"/>
      <c r="K48" s="296"/>
      <c r="L48" s="296"/>
      <c r="M48" s="296"/>
    </row>
    <row r="49" spans="2:13">
      <c r="B49" s="292"/>
      <c r="C49" s="296"/>
      <c r="D49" s="296"/>
      <c r="E49" s="296"/>
      <c r="F49" s="296"/>
      <c r="G49" s="296"/>
      <c r="H49" s="296"/>
      <c r="I49" s="296"/>
      <c r="J49" s="296"/>
      <c r="K49" s="296"/>
      <c r="L49" s="296"/>
      <c r="M49" s="296"/>
    </row>
    <row r="50" spans="2:13">
      <c r="B50" s="292"/>
      <c r="C50" s="296"/>
      <c r="D50" s="296"/>
      <c r="E50" s="296"/>
      <c r="F50" s="296"/>
      <c r="G50" s="296"/>
      <c r="H50" s="296"/>
      <c r="I50" s="296"/>
      <c r="J50" s="296"/>
      <c r="K50" s="296"/>
      <c r="L50" s="296"/>
      <c r="M50" s="296"/>
    </row>
    <row r="71" spans="2:13" ht="13.15">
      <c r="B71" s="297" t="s">
        <v>368</v>
      </c>
    </row>
    <row r="72" spans="2:13" ht="15">
      <c r="B72" s="292"/>
      <c r="C72" s="291">
        <f>C47</f>
        <v>2012</v>
      </c>
      <c r="D72" s="291">
        <f t="shared" ref="D72:M72" si="3">D47</f>
        <v>2013</v>
      </c>
      <c r="E72" s="291">
        <f t="shared" si="3"/>
        <v>2014</v>
      </c>
      <c r="F72" s="291">
        <f t="shared" si="3"/>
        <v>2015</v>
      </c>
      <c r="G72" s="291">
        <f t="shared" si="3"/>
        <v>2016</v>
      </c>
      <c r="H72" s="291">
        <f t="shared" si="3"/>
        <v>2017</v>
      </c>
      <c r="I72" s="291">
        <f t="shared" si="3"/>
        <v>2018</v>
      </c>
      <c r="J72" s="291">
        <f t="shared" si="3"/>
        <v>2019</v>
      </c>
      <c r="K72" s="291">
        <f t="shared" si="3"/>
        <v>2020</v>
      </c>
      <c r="L72" s="291">
        <f t="shared" si="3"/>
        <v>2021</v>
      </c>
      <c r="M72" s="291">
        <f t="shared" si="3"/>
        <v>2022</v>
      </c>
    </row>
    <row r="73" spans="2:13">
      <c r="B73" s="292" t="s">
        <v>359</v>
      </c>
      <c r="C73" s="296"/>
      <c r="D73" s="296"/>
      <c r="E73" s="296"/>
      <c r="F73" s="296"/>
      <c r="G73" s="296"/>
      <c r="H73" s="296"/>
      <c r="I73" s="296"/>
      <c r="J73" s="296"/>
      <c r="K73" s="296"/>
      <c r="L73" s="296"/>
      <c r="M73" s="296"/>
    </row>
    <row r="74" spans="2:13">
      <c r="B74" s="292" t="s">
        <v>360</v>
      </c>
      <c r="C74" s="293"/>
      <c r="D74" s="293"/>
      <c r="E74" s="293"/>
      <c r="F74" s="293"/>
      <c r="G74" s="293"/>
      <c r="H74" s="293"/>
      <c r="I74" s="293"/>
      <c r="J74" s="296"/>
      <c r="K74" s="296"/>
      <c r="L74" s="296"/>
      <c r="M74" s="296"/>
    </row>
    <row r="75" spans="2:13">
      <c r="B75" s="292" t="s">
        <v>361</v>
      </c>
      <c r="C75" s="293"/>
      <c r="D75" s="293"/>
      <c r="E75" s="293"/>
      <c r="F75" s="293"/>
      <c r="G75" s="293"/>
      <c r="H75" s="293"/>
      <c r="I75" s="293"/>
      <c r="J75" s="296"/>
      <c r="K75" s="296"/>
      <c r="L75" s="296"/>
      <c r="M75" s="296"/>
    </row>
    <row r="76" spans="2:13">
      <c r="B76" s="292" t="s">
        <v>362</v>
      </c>
      <c r="J76" s="296"/>
      <c r="K76" s="296"/>
      <c r="L76" s="296"/>
      <c r="M76" s="296"/>
    </row>
    <row r="78" spans="2:13" ht="13.15">
      <c r="B78" s="297" t="s">
        <v>367</v>
      </c>
    </row>
    <row r="79" spans="2:13" ht="15">
      <c r="C79" s="291">
        <f>C72</f>
        <v>2012</v>
      </c>
      <c r="D79" s="291">
        <f>D72</f>
        <v>2013</v>
      </c>
      <c r="E79" s="291">
        <f t="shared" ref="E79:M79" si="4">E72</f>
        <v>2014</v>
      </c>
      <c r="F79" s="291">
        <f t="shared" si="4"/>
        <v>2015</v>
      </c>
      <c r="G79" s="291">
        <f t="shared" si="4"/>
        <v>2016</v>
      </c>
      <c r="H79" s="291">
        <f t="shared" si="4"/>
        <v>2017</v>
      </c>
      <c r="I79" s="291">
        <f t="shared" si="4"/>
        <v>2018</v>
      </c>
      <c r="J79" s="291">
        <f t="shared" si="4"/>
        <v>2019</v>
      </c>
      <c r="K79" s="291">
        <f t="shared" si="4"/>
        <v>2020</v>
      </c>
      <c r="L79" s="291">
        <f t="shared" si="4"/>
        <v>2021</v>
      </c>
      <c r="M79" s="291">
        <f t="shared" si="4"/>
        <v>2022</v>
      </c>
    </row>
    <row r="80" spans="2:13">
      <c r="B80" s="292" t="s">
        <v>365</v>
      </c>
      <c r="J80" s="295"/>
      <c r="K80" s="295"/>
      <c r="L80" s="295"/>
      <c r="M80" s="295"/>
    </row>
    <row r="81" spans="2:13">
      <c r="B81" s="292" t="s">
        <v>366</v>
      </c>
      <c r="J81" s="295"/>
      <c r="K81" s="295"/>
      <c r="L81" s="295"/>
      <c r="M81" s="295"/>
    </row>
    <row r="82" spans="2:13">
      <c r="B82" s="292" t="s">
        <v>364</v>
      </c>
      <c r="J82" s="296"/>
      <c r="K82" s="296"/>
      <c r="L82" s="296"/>
      <c r="M82" s="296"/>
    </row>
    <row r="103" spans="2:13" ht="15">
      <c r="C103" s="291">
        <v>2012</v>
      </c>
      <c r="D103" s="291">
        <v>2013</v>
      </c>
      <c r="E103" s="291">
        <v>2014</v>
      </c>
      <c r="F103" s="291">
        <v>2015</v>
      </c>
      <c r="G103" s="291">
        <v>2016</v>
      </c>
      <c r="H103" s="291">
        <v>2017</v>
      </c>
      <c r="I103" s="291">
        <v>2018</v>
      </c>
      <c r="J103" s="291">
        <v>2019</v>
      </c>
      <c r="K103" s="291">
        <v>2020</v>
      </c>
      <c r="L103" s="291">
        <v>2021</v>
      </c>
      <c r="M103" s="291">
        <v>2022</v>
      </c>
    </row>
    <row r="104" spans="2:13">
      <c r="B104" t="s">
        <v>369</v>
      </c>
      <c r="J104" s="298">
        <f>Data!F19</f>
        <v>25020</v>
      </c>
      <c r="K104" s="298">
        <f>Data!E19</f>
        <v>68639</v>
      </c>
      <c r="L104" s="298">
        <f>Data!D19</f>
        <v>327798</v>
      </c>
      <c r="M104" s="298">
        <f>Data!C19</f>
        <v>582451</v>
      </c>
    </row>
    <row r="105" spans="2:13">
      <c r="B105" t="s">
        <v>370</v>
      </c>
      <c r="J105" s="298">
        <f>Data!F33</f>
        <v>69000</v>
      </c>
      <c r="K105" s="298">
        <f>Data!E33</f>
        <v>56000</v>
      </c>
      <c r="L105" s="298">
        <f>Data!D33</f>
        <v>247000</v>
      </c>
      <c r="M105" s="298">
        <f>Data!C33</f>
        <v>1176000</v>
      </c>
    </row>
    <row r="106" spans="2:13">
      <c r="B106" t="s">
        <v>371</v>
      </c>
      <c r="J106" s="298">
        <f>Data!F40</f>
        <v>7352</v>
      </c>
      <c r="K106" s="298">
        <f>Data!E40</f>
        <v>37000</v>
      </c>
      <c r="L106" s="298">
        <f>Data!D40</f>
        <v>36302</v>
      </c>
      <c r="M106" s="298">
        <f>Data!C40</f>
        <v>182000</v>
      </c>
    </row>
    <row r="107" spans="2:13">
      <c r="B107" t="s">
        <v>372</v>
      </c>
      <c r="J107">
        <v>0</v>
      </c>
      <c r="K107">
        <v>0</v>
      </c>
      <c r="L107" s="298">
        <f>Data!D41</f>
        <v>0</v>
      </c>
      <c r="M107" s="298">
        <f>Data!C41</f>
        <v>0</v>
      </c>
    </row>
    <row r="108" spans="2:13">
      <c r="B108" t="s">
        <v>374</v>
      </c>
      <c r="J108" s="298">
        <f>Data!F34</f>
        <v>0</v>
      </c>
      <c r="K108" s="298">
        <f>Data!E34</f>
        <v>0</v>
      </c>
      <c r="L108" s="298">
        <f>Data!D34</f>
        <v>0</v>
      </c>
      <c r="M108" s="298">
        <f>Data!C34</f>
        <v>230000</v>
      </c>
    </row>
    <row r="111" spans="2:13">
      <c r="B111" t="s">
        <v>376</v>
      </c>
      <c r="J111" s="298">
        <v>1315974</v>
      </c>
      <c r="K111" s="298">
        <v>2298560</v>
      </c>
      <c r="L111" s="298">
        <v>2061289</v>
      </c>
      <c r="M111" s="298">
        <v>2916855</v>
      </c>
    </row>
    <row r="112" spans="2:13">
      <c r="B112" t="s">
        <v>377</v>
      </c>
      <c r="J112" s="298">
        <v>3886094</v>
      </c>
      <c r="K112" s="298">
        <v>2774281</v>
      </c>
      <c r="L112" s="298">
        <v>4254707</v>
      </c>
      <c r="M112" s="298">
        <v>4294664</v>
      </c>
    </row>
    <row r="113" spans="2:15">
      <c r="B113" s="292" t="s">
        <v>378</v>
      </c>
      <c r="J113" s="299">
        <v>1.3370230781251284</v>
      </c>
      <c r="K113" s="299">
        <v>1.0795113892766026</v>
      </c>
      <c r="L113" s="299">
        <v>1.2103831624020565</v>
      </c>
      <c r="M113" s="299">
        <v>1.309293938120297</v>
      </c>
    </row>
    <row r="116" spans="2:15">
      <c r="G116" s="292"/>
      <c r="H116" s="293"/>
      <c r="I116" s="301"/>
      <c r="J116" s="301"/>
      <c r="K116" s="301"/>
      <c r="L116" s="301"/>
      <c r="M116" s="301"/>
    </row>
    <row r="117" spans="2:15">
      <c r="H117" s="293"/>
      <c r="I117" s="295"/>
      <c r="J117" s="293"/>
      <c r="K117" s="293"/>
      <c r="M117" s="293"/>
      <c r="N117" s="300"/>
      <c r="O117" s="295"/>
    </row>
    <row r="119" spans="2:15">
      <c r="G119" s="292"/>
      <c r="I119" s="301"/>
      <c r="J119" s="301"/>
      <c r="K119" s="301"/>
      <c r="L119" s="301"/>
      <c r="M119" s="301"/>
    </row>
    <row r="120" spans="2:15">
      <c r="I120" s="295"/>
      <c r="J120" s="301"/>
      <c r="K120" s="293"/>
      <c r="L120" s="300"/>
      <c r="M120" s="295"/>
      <c r="N120" s="292"/>
      <c r="O120" s="302"/>
    </row>
    <row r="122" spans="2:15">
      <c r="G122" s="292"/>
    </row>
    <row r="123" spans="2:15">
      <c r="K123" s="301"/>
      <c r="L123" s="300"/>
      <c r="M123" s="295"/>
    </row>
    <row r="125" spans="2:15">
      <c r="M125" s="303"/>
    </row>
  </sheetData>
  <pageMargins left="0.7" right="0.7" top="0.75" bottom="0.75" header="0.3" footer="0.3"/>
  <pageSetup paperSize="9" orientation="portrait" horizontalDpi="1200" verticalDpi="120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>
    <tabColor rgb="FFB6D7A8"/>
    <outlinePr summaryBelow="0" summaryRight="0"/>
  </sheetPr>
  <dimension ref="A1:J916"/>
  <sheetViews>
    <sheetView showGridLines="0" topLeftCell="A22" zoomScaleNormal="100" zoomScalePageLayoutView="80" workbookViewId="0">
      <selection activeCell="D46" sqref="B43:G47"/>
    </sheetView>
  </sheetViews>
  <sheetFormatPr defaultColWidth="12.46484375" defaultRowHeight="15" customHeight="1"/>
  <cols>
    <col min="1" max="1" width="2.46484375" style="3" customWidth="1"/>
    <col min="2" max="2" width="26.796875" style="3" customWidth="1"/>
    <col min="3" max="7" width="22.73046875" style="3" customWidth="1"/>
    <col min="8" max="8" width="2.46484375" style="3" customWidth="1"/>
    <col min="9" max="9" width="68.46484375" style="3" bestFit="1" customWidth="1"/>
    <col min="10" max="16384" width="12.46484375" style="3"/>
  </cols>
  <sheetData>
    <row r="1" spans="1:10" ht="15" customHeight="1">
      <c r="C1" s="6"/>
      <c r="D1" s="6"/>
      <c r="E1" s="6"/>
    </row>
    <row r="2" spans="1:10" ht="15.75" customHeight="1">
      <c r="A2" s="4"/>
      <c r="B2" s="56" t="s">
        <v>331</v>
      </c>
      <c r="C2" s="115" t="s">
        <v>218</v>
      </c>
      <c r="D2" s="115">
        <v>1</v>
      </c>
      <c r="E2" s="115">
        <v>2</v>
      </c>
      <c r="F2" s="115">
        <v>3</v>
      </c>
      <c r="G2" s="115" t="str">
        <f>B21</f>
        <v>TV after Year 1</v>
      </c>
      <c r="H2" s="12"/>
      <c r="I2" s="12"/>
    </row>
    <row r="3" spans="1:10" ht="15.75" customHeight="1">
      <c r="B3" s="21" t="str">
        <f>"(Numbers in "&amp;Data!C4&amp;Dashboard!I11&amp;")"</f>
        <v>(Numbers in 1000HKD)</v>
      </c>
      <c r="C3" s="194">
        <f>Projections!F3</f>
        <v>44926</v>
      </c>
      <c r="D3" s="194">
        <f>Projections!G3</f>
        <v>45291</v>
      </c>
      <c r="E3" s="194" t="str">
        <f>Projections!H3</f>
        <v/>
      </c>
      <c r="F3" s="194" t="str">
        <f>Projections!I3</f>
        <v/>
      </c>
      <c r="G3" s="195" t="s">
        <v>217</v>
      </c>
      <c r="I3" s="42" t="s">
        <v>117</v>
      </c>
    </row>
    <row r="4" spans="1:10" ht="15.75" customHeight="1">
      <c r="B4" s="147" t="s">
        <v>41</v>
      </c>
      <c r="C4" s="242">
        <f>IF(B4="NOPAT",Projections!F21,Projections!F9)</f>
        <v>10722361</v>
      </c>
      <c r="D4" s="243">
        <f>IF(B4="NOPAT",Projections!G21,Projections!G9)</f>
        <v>10887180.32</v>
      </c>
      <c r="E4" s="243" t="str">
        <f>IF(Projections!H9="","",IF(B4="NOPAT",Projections!H21,Projections!H9))</f>
        <v/>
      </c>
      <c r="F4" s="243" t="str">
        <f>IF(Projections!I9="","",IF(B4="NOPAT",Projections!I21,Projections!I9))</f>
        <v/>
      </c>
      <c r="G4" s="244">
        <f>IF(F3="",IF(E3="",1,2),3)</f>
        <v>1</v>
      </c>
      <c r="H4" s="6"/>
      <c r="I4" s="47" t="s">
        <v>408</v>
      </c>
      <c r="J4" s="35"/>
    </row>
    <row r="5" spans="1:10" ht="15.75" customHeight="1">
      <c r="B5" s="14" t="str">
        <f>B4&amp;" Growth rate"</f>
        <v>Sales Growth rate</v>
      </c>
      <c r="C5" s="102"/>
      <c r="D5" s="241">
        <f>D4/C4-1</f>
        <v>1.5371551097747904E-2</v>
      </c>
      <c r="E5" s="241" t="str">
        <f>IF(E4="","",E4/D4-1)</f>
        <v/>
      </c>
      <c r="F5" s="241" t="str">
        <f>IF(F4="","",F4/E4-1)</f>
        <v/>
      </c>
      <c r="G5" s="101"/>
      <c r="H5" s="6"/>
      <c r="I5" s="47"/>
      <c r="J5" s="35"/>
    </row>
    <row r="6" spans="1:10" ht="15.75" customHeight="1">
      <c r="B6" s="14" t="str">
        <f>B7&amp;"/"&amp;B4</f>
        <v>Reinvestment/Sales</v>
      </c>
      <c r="C6" s="171">
        <f>C7/C4</f>
        <v>0.20511871706240814</v>
      </c>
      <c r="D6" s="171">
        <f>D7/D4</f>
        <v>2.9072407687282625E-2</v>
      </c>
      <c r="E6" s="171"/>
      <c r="F6" s="171"/>
      <c r="G6" s="285"/>
      <c r="H6" s="6"/>
      <c r="I6" s="45"/>
    </row>
    <row r="7" spans="1:10" ht="15" customHeight="1" thickBot="1">
      <c r="B7" s="146" t="s">
        <v>68</v>
      </c>
      <c r="C7" s="313">
        <f>Projections!F24</f>
        <v>2199356.9321999997</v>
      </c>
      <c r="D7" s="313">
        <f>Projections!G24</f>
        <v>316516.54482800013</v>
      </c>
      <c r="E7" s="247" t="str">
        <f>Projections!H24</f>
        <v/>
      </c>
      <c r="F7" s="247"/>
      <c r="G7" s="103"/>
      <c r="H7" s="49"/>
      <c r="I7" s="35"/>
      <c r="J7" s="35"/>
    </row>
    <row r="8" spans="1:10" ht="15.75" customHeight="1" thickTop="1">
      <c r="B8" s="14" t="str">
        <f>IF(B7="Reinvestment","FCFF","Retention")</f>
        <v>FCFF</v>
      </c>
      <c r="C8" s="51">
        <f>IF(C4="","",Projections!F21-C7)</f>
        <v>-2093284.4321999997</v>
      </c>
      <c r="D8" s="210">
        <f>Projections!G21-D7</f>
        <v>-171313.30482799991</v>
      </c>
      <c r="E8" s="210" t="str">
        <f>IF(E4="","",Projections!H21-E7)</f>
        <v/>
      </c>
      <c r="F8" s="210" t="str">
        <f>IF(F4="","",Projections!I21-F7)</f>
        <v/>
      </c>
      <c r="G8" s="315"/>
      <c r="H8" s="49"/>
      <c r="I8" s="35"/>
      <c r="J8" s="35"/>
    </row>
    <row r="9" spans="1:10" ht="15.75" customHeight="1">
      <c r="B9" s="104" t="str">
        <f>B8&amp;" per share"</f>
        <v>FCFF per share</v>
      </c>
      <c r="C9" s="167">
        <f>C8/(Common_Shares/Data!$C$4)</f>
        <v>-2.6444550366887793</v>
      </c>
      <c r="D9" s="248">
        <f>D8/(Common_Shares/Data!$C$4)</f>
        <v>-0.21642081928067405</v>
      </c>
      <c r="E9" s="248" t="str">
        <f>IF(E8="","",E8/(Common_Shares/Data!$C$4))</f>
        <v/>
      </c>
      <c r="F9" s="248" t="str">
        <f>IF(F8="","",F8/(Common_Shares/Data!$C$4))</f>
        <v/>
      </c>
      <c r="G9" s="249">
        <f>IF(F4="",IF(E4="",D8,E8),F8)*Data!C$4/Common_Shares</f>
        <v>-0.21642081928067408</v>
      </c>
      <c r="H9" s="49"/>
      <c r="I9" s="35"/>
      <c r="J9" s="35"/>
    </row>
    <row r="10" spans="1:10" ht="15.75" customHeight="1">
      <c r="B10" s="14" t="s">
        <v>124</v>
      </c>
      <c r="C10" s="246"/>
      <c r="D10" s="149" t="str">
        <f>IF(Projections!$E2=1,"",Dashboard!C12)</f>
        <v/>
      </c>
      <c r="E10" s="149" t="str">
        <f>IF(Projections!$E2=2,"",IF(E4="","",D10))</f>
        <v/>
      </c>
      <c r="F10" s="149" t="str">
        <f>IF(Projections!$E2=3,"",IF(F4="","",D10))</f>
        <v/>
      </c>
      <c r="G10" s="149">
        <f ca="1">Dashboard!C12</f>
        <v>9.6000000000000002E-2</v>
      </c>
      <c r="H10" s="39"/>
      <c r="I10" s="36"/>
      <c r="J10" s="36"/>
    </row>
    <row r="11" spans="1:10" ht="15.75" customHeight="1" thickBot="1">
      <c r="B11" s="50" t="s">
        <v>125</v>
      </c>
      <c r="C11" s="75"/>
      <c r="D11" s="250" t="str">
        <f>IF(D10="","",1+D10)</f>
        <v/>
      </c>
      <c r="E11" s="250" t="str">
        <f>IF(E10="","",(1+D10)*(1+E10))</f>
        <v/>
      </c>
      <c r="F11" s="250" t="str">
        <f>IF(F10="","",(1+D10)*(1+E10)*(1+F10))</f>
        <v/>
      </c>
      <c r="G11" s="250">
        <f ca="1">IF(F10="",IF(E10="",1,D11),E11)*(1+G10)</f>
        <v>1.0960000000000001</v>
      </c>
      <c r="H11" s="39"/>
      <c r="I11" s="36"/>
      <c r="J11" s="36"/>
    </row>
    <row r="12" spans="1:10" ht="15.75" customHeight="1" thickTop="1">
      <c r="B12" s="8" t="str">
        <f>"PV "&amp;B8&amp;" per share"</f>
        <v>PV FCFF per share</v>
      </c>
      <c r="C12" s="251"/>
      <c r="D12" s="252" t="str">
        <f>IF(D11="","",D9/D11)</f>
        <v/>
      </c>
      <c r="E12" s="252" t="str">
        <f>IF(E11="","",E9/E11)</f>
        <v/>
      </c>
      <c r="F12" s="252" t="str">
        <f>IF(F11="","",F9/F11)</f>
        <v/>
      </c>
      <c r="G12" s="253"/>
      <c r="H12" s="48"/>
      <c r="I12" s="35"/>
      <c r="J12" s="35"/>
    </row>
    <row r="13" spans="1:10" ht="15.75" customHeight="1">
      <c r="C13" s="6"/>
      <c r="D13" s="6"/>
      <c r="E13" s="192"/>
      <c r="F13" s="6"/>
      <c r="G13" s="6"/>
    </row>
    <row r="14" spans="1:10" ht="15.75" customHeight="1">
      <c r="B14" s="135" t="s">
        <v>190</v>
      </c>
      <c r="C14" s="100" t="str">
        <f>B3</f>
        <v>(Numbers in 1000HKD)</v>
      </c>
      <c r="E14" s="42" t="s">
        <v>191</v>
      </c>
    </row>
    <row r="15" spans="1:10" ht="15.75" customHeight="1">
      <c r="B15" s="37" t="s">
        <v>201</v>
      </c>
      <c r="C15" s="51">
        <f>Asset_Model!E62</f>
        <v>2359881</v>
      </c>
      <c r="D15" s="106">
        <f>C15/(Dashboard!I5/Data!C4)*Exchange_Rate</f>
        <v>2.9812476032592521</v>
      </c>
      <c r="E15" s="52" t="s">
        <v>199</v>
      </c>
      <c r="G15" s="199">
        <f>C15+C16+C17+C18</f>
        <v>1505122.8241246247</v>
      </c>
    </row>
    <row r="16" spans="1:10" ht="15.75" customHeight="1">
      <c r="B16" s="37" t="s">
        <v>205</v>
      </c>
      <c r="C16" s="51">
        <f>Asset_Model!E61</f>
        <v>26726.5</v>
      </c>
      <c r="D16" s="106">
        <f>C16/(Dashboard!I5/Data!C4)*Exchange_Rate</f>
        <v>3.3763699978307547E-2</v>
      </c>
      <c r="E16" s="52" t="s">
        <v>275</v>
      </c>
      <c r="G16" s="264">
        <f>(G15+MIN(D4,0))*Data!C$4/Dashboard!I5*Exchange_Rate</f>
        <v>1.9014280008323869</v>
      </c>
    </row>
    <row r="17" spans="1:9" ht="15.75" customHeight="1">
      <c r="B17" s="37" t="s">
        <v>192</v>
      </c>
      <c r="C17" s="51">
        <f>-Asset_Model!D55</f>
        <v>-805276</v>
      </c>
      <c r="D17" s="106">
        <f>C17/(Dashboard!I5/Data!C4)*Exchange_Rate</f>
        <v>-1.0173085613055055</v>
      </c>
      <c r="E17" s="339" t="str">
        <f>IF(F18+G18=G16,"⇒","Error!")</f>
        <v>⇒</v>
      </c>
      <c r="F17" s="87" t="s">
        <v>206</v>
      </c>
      <c r="G17" s="54" t="s">
        <v>20</v>
      </c>
    </row>
    <row r="18" spans="1:9" ht="15.75" customHeight="1">
      <c r="B18" s="52" t="s">
        <v>200</v>
      </c>
      <c r="C18" s="51">
        <f>-Asset_Model!E53</f>
        <v>-76208.675875375178</v>
      </c>
      <c r="D18" s="106">
        <f>C18/(Dashboard!I5/Data!C4)*Exchange_Rate</f>
        <v>-9.6274741099667077E-2</v>
      </c>
      <c r="E18" s="339"/>
      <c r="F18" s="89">
        <f>D15+(MIN(D4,0)*Data!C$4/Dashboard!I5)</f>
        <v>2.9812476032592521</v>
      </c>
      <c r="G18" s="88">
        <f>SUM(D16:D18)</f>
        <v>-1.0798196024268651</v>
      </c>
    </row>
    <row r="19" spans="1:9" ht="15.75" customHeight="1">
      <c r="F19" s="6"/>
      <c r="G19" s="6"/>
    </row>
    <row r="20" spans="1:9" ht="15.75" customHeight="1">
      <c r="B20" s="20" t="s">
        <v>330</v>
      </c>
      <c r="C20" s="100" t="str">
        <f>B3</f>
        <v>(Numbers in 1000HKD)</v>
      </c>
      <c r="E20" s="387" t="s">
        <v>195</v>
      </c>
      <c r="F20" s="387"/>
      <c r="G20" s="60"/>
    </row>
    <row r="21" spans="1:9" ht="15.75" customHeight="1">
      <c r="B21" s="81" t="str">
        <f>"TV after Year "&amp;G4</f>
        <v>TV after Year 1</v>
      </c>
      <c r="C21" s="265" t="s">
        <v>389</v>
      </c>
      <c r="D21" s="38" t="s">
        <v>326</v>
      </c>
      <c r="E21" s="266" t="s">
        <v>194</v>
      </c>
      <c r="F21" s="108" t="str">
        <f>"Equity Value ("&amp;Dashboard!I11&amp;")"</f>
        <v>Equity Value (HKD)</v>
      </c>
      <c r="G21" s="133" t="str">
        <f>"Equity Value ("&amp;Dashboard!J4&amp;")"</f>
        <v>Equity Value (HKD)</v>
      </c>
      <c r="I21" s="53"/>
    </row>
    <row r="22" spans="1:9" ht="15.75" customHeight="1">
      <c r="B22" s="22" t="s">
        <v>248</v>
      </c>
      <c r="C22" s="267">
        <v>0.67</v>
      </c>
      <c r="D22" s="268">
        <f>C22*D4*Data!C4/Common_Shares</f>
        <v>9.2150598939600652</v>
      </c>
      <c r="E22" s="239">
        <f>IF(D22="",IF(G9&lt;0,G9,G9*C22/G11),D22)</f>
        <v>9.2150598939600652</v>
      </c>
      <c r="F22" s="239">
        <f>SUM(D12:F12)+E22+$G$16</f>
        <v>11.116487894792453</v>
      </c>
      <c r="G22" s="271">
        <f>F22*Exchange_Rate</f>
        <v>11.116487894792453</v>
      </c>
      <c r="I22" s="43"/>
    </row>
    <row r="23" spans="1:9" ht="15.75" customHeight="1">
      <c r="B23" s="132" t="s">
        <v>249</v>
      </c>
      <c r="C23" s="269">
        <v>1.33</v>
      </c>
      <c r="D23" s="270">
        <f>C23*D4*Data!C4/Common_Shares</f>
        <v>18.292581580547591</v>
      </c>
      <c r="E23" s="98">
        <f>IF(D23="",IF(G9&lt;0,G9,G9*C23/G11),D23)</f>
        <v>18.292581580547591</v>
      </c>
      <c r="F23" s="98">
        <f>SUM(D12:F12)+E23+$G$16</f>
        <v>20.194009581379976</v>
      </c>
      <c r="G23" s="272">
        <f>F23*Exchange_Rate</f>
        <v>20.194009581379976</v>
      </c>
      <c r="I23" s="43" t="s">
        <v>412</v>
      </c>
    </row>
    <row r="24" spans="1:9" ht="15.5" customHeight="1">
      <c r="C24" s="6"/>
      <c r="D24" s="6"/>
      <c r="E24" s="388" t="s">
        <v>335</v>
      </c>
      <c r="F24" s="389"/>
      <c r="G24" s="143">
        <f>MIN(G22,G23)+ABS(G22-G23)*Qualitative_Analysis!$E$64</f>
        <v>15.392649003581361</v>
      </c>
    </row>
    <row r="25" spans="1:9" ht="15.75" customHeight="1"/>
    <row r="26" spans="1:9" ht="15.75" customHeight="1">
      <c r="A26" s="4"/>
      <c r="B26" s="56" t="s">
        <v>298</v>
      </c>
      <c r="C26" s="115" t="s">
        <v>218</v>
      </c>
      <c r="D26" s="115">
        <v>1</v>
      </c>
      <c r="E26" s="115">
        <v>2</v>
      </c>
      <c r="F26" s="115">
        <v>3</v>
      </c>
      <c r="G26" s="115" t="str">
        <f>G2</f>
        <v>TV after Year 1</v>
      </c>
      <c r="H26" s="12"/>
      <c r="I26" s="12"/>
    </row>
    <row r="27" spans="1:9" ht="15.75" customHeight="1">
      <c r="B27" s="21" t="str">
        <f>B3</f>
        <v>(Numbers in 1000HKD)</v>
      </c>
      <c r="C27" s="194">
        <f>C3</f>
        <v>44926</v>
      </c>
      <c r="D27" s="194">
        <f>D3</f>
        <v>45291</v>
      </c>
      <c r="E27" s="194" t="str">
        <f>E3</f>
        <v/>
      </c>
      <c r="F27" s="194" t="str">
        <f>F3</f>
        <v/>
      </c>
      <c r="G27" s="195" t="str">
        <f>G3</f>
        <v>Terminal Value</v>
      </c>
      <c r="I27" s="43" t="s">
        <v>320</v>
      </c>
    </row>
    <row r="28" spans="1:9" ht="15.75" customHeight="1">
      <c r="B28" s="5" t="s">
        <v>123</v>
      </c>
      <c r="C28" s="51">
        <f>C8</f>
        <v>-2093284.4321999997</v>
      </c>
      <c r="D28" s="51">
        <f>D8</f>
        <v>-171313.30482799991</v>
      </c>
      <c r="E28" s="51" t="str">
        <f>E8</f>
        <v/>
      </c>
      <c r="F28" s="51" t="str">
        <f>F8</f>
        <v/>
      </c>
      <c r="G28" s="161"/>
      <c r="I28" s="43" t="s">
        <v>317</v>
      </c>
    </row>
    <row r="29" spans="1:9" ht="15.75" customHeight="1">
      <c r="B29" s="141" t="s">
        <v>299</v>
      </c>
      <c r="C29" s="180">
        <v>0.04</v>
      </c>
      <c r="D29" s="207">
        <v>0.04</v>
      </c>
      <c r="E29" s="180"/>
      <c r="F29" s="207"/>
      <c r="G29" s="207"/>
      <c r="I29" s="43"/>
    </row>
    <row r="30" spans="1:9" ht="15.75" customHeight="1">
      <c r="B30" s="141" t="s">
        <v>308</v>
      </c>
      <c r="C30" s="95">
        <f>MAX(Asset_Model!D55,0)</f>
        <v>805276</v>
      </c>
      <c r="D30" s="150">
        <f>C30*1.1</f>
        <v>885803.60000000009</v>
      </c>
      <c r="E30" s="161"/>
      <c r="F30" s="161"/>
      <c r="G30" s="161"/>
      <c r="I30" s="43" t="s">
        <v>309</v>
      </c>
    </row>
    <row r="31" spans="1:9" ht="15.75" customHeight="1">
      <c r="B31" s="141" t="s">
        <v>313</v>
      </c>
      <c r="C31" s="171">
        <f>Projections!F19</f>
        <v>0.25</v>
      </c>
      <c r="D31" s="171">
        <f>Projections!G19</f>
        <v>0.25</v>
      </c>
      <c r="E31" s="171" t="str">
        <f>Projections!H19</f>
        <v/>
      </c>
      <c r="F31" s="171" t="str">
        <f>Projections!I19</f>
        <v/>
      </c>
      <c r="G31" s="171"/>
      <c r="I31" s="43"/>
    </row>
    <row r="32" spans="1:9" ht="15.75" customHeight="1" thickBot="1">
      <c r="B32" s="142" t="s">
        <v>312</v>
      </c>
      <c r="C32" s="276">
        <f>C30*(C29*(1-Projections!F19))</f>
        <v>24158.28</v>
      </c>
      <c r="D32" s="276">
        <f>(D30*D29)*(1-D31)</f>
        <v>26574.108000000007</v>
      </c>
      <c r="E32" s="277" t="str">
        <f>IF(E28="","",(E30*E29)*(1-E31))</f>
        <v/>
      </c>
      <c r="F32" s="277" t="str">
        <f>IF(F28="","",(F30*F29)*(1-F31))</f>
        <v/>
      </c>
      <c r="G32" s="276"/>
      <c r="I32" s="43"/>
    </row>
    <row r="33" spans="1:9" ht="15.75" customHeight="1" thickTop="1">
      <c r="B33" s="141" t="s">
        <v>300</v>
      </c>
      <c r="C33" s="51">
        <f>C28-C32</f>
        <v>-2117442.7121999995</v>
      </c>
      <c r="D33" s="210">
        <f>D28-D32</f>
        <v>-197887.41282799991</v>
      </c>
      <c r="E33" s="210" t="str">
        <f>IF(E28="","",E28-E32)</f>
        <v/>
      </c>
      <c r="F33" s="210" t="str">
        <f>IF(F28="","",F28-F32)</f>
        <v/>
      </c>
      <c r="G33" s="317"/>
      <c r="I33" s="43" t="s">
        <v>304</v>
      </c>
    </row>
    <row r="34" spans="1:9" ht="15.75" customHeight="1">
      <c r="B34" s="120" t="s">
        <v>301</v>
      </c>
      <c r="C34" s="139">
        <f>C33/(Common_Shares/Data!$C$4)</f>
        <v>-2.6749742935279444</v>
      </c>
      <c r="D34" s="245">
        <f>D33/(Common_Shares/Data!$C$4)</f>
        <v>-0.24999200180375575</v>
      </c>
      <c r="E34" s="245" t="str">
        <f>IF(E33="","",E33/(Common_Shares/Data!$C$4))</f>
        <v/>
      </c>
      <c r="F34" s="245" t="str">
        <f>IF(F33="","",F33/(Common_Shares/Data!$C$4))</f>
        <v/>
      </c>
      <c r="G34" s="139">
        <f>INDEX(D34:F34,Projections!E2)</f>
        <v>-0.24999200180375575</v>
      </c>
      <c r="H34" s="6"/>
      <c r="I34" s="43"/>
    </row>
    <row r="35" spans="1:9" ht="15.75" customHeight="1">
      <c r="B35" s="141" t="s">
        <v>306</v>
      </c>
      <c r="C35" s="273">
        <f>Dashboard!C31</f>
        <v>7.4</v>
      </c>
      <c r="D35" s="149" t="str">
        <f>D10</f>
        <v/>
      </c>
      <c r="E35" s="149" t="str">
        <f>IF(E10="","",E10)</f>
        <v/>
      </c>
      <c r="F35" s="149" t="str">
        <f>IF(F10="","",F10)</f>
        <v/>
      </c>
      <c r="G35" s="149">
        <f ca="1">G10</f>
        <v>9.6000000000000002E-2</v>
      </c>
      <c r="I35" s="43"/>
    </row>
    <row r="36" spans="1:9" ht="15.75" customHeight="1" thickBot="1">
      <c r="B36" s="142" t="s">
        <v>305</v>
      </c>
      <c r="C36" s="75"/>
      <c r="D36" s="278" t="str">
        <f>IF(D35="","",C35*D35)</f>
        <v/>
      </c>
      <c r="E36" s="278" t="str">
        <f>IF(E35="","", $D$36)</f>
        <v/>
      </c>
      <c r="F36" s="278" t="str">
        <f>IF(F35="","", $D$36)</f>
        <v/>
      </c>
      <c r="G36" s="278">
        <f ca="1">C35*G35</f>
        <v>0.71040000000000003</v>
      </c>
      <c r="H36" s="6"/>
      <c r="I36" s="43"/>
    </row>
    <row r="37" spans="1:9" ht="15.75" customHeight="1" thickTop="1">
      <c r="B37" s="5" t="s">
        <v>302</v>
      </c>
      <c r="C37" s="274">
        <f>Qualitative_Analysis!E64^2</f>
        <v>0.22190829081632654</v>
      </c>
      <c r="D37" s="245" t="str">
        <f>IF(D36="","",D34-D36)</f>
        <v/>
      </c>
      <c r="E37" s="245" t="str">
        <f>IF(E36="","",E34-E36)</f>
        <v/>
      </c>
      <c r="F37" s="245" t="str">
        <f>IF(F36="","",F34-F36)</f>
        <v/>
      </c>
      <c r="G37" s="275">
        <f ca="1">G34-G36</f>
        <v>-0.96039200180375572</v>
      </c>
      <c r="I37" s="43" t="s">
        <v>303</v>
      </c>
    </row>
    <row r="38" spans="1:9" ht="15.75" customHeight="1">
      <c r="B38" s="5" t="s">
        <v>125</v>
      </c>
      <c r="C38" s="144"/>
      <c r="D38" s="149" t="str">
        <f>D11</f>
        <v/>
      </c>
      <c r="E38" s="149" t="str">
        <f>E11</f>
        <v/>
      </c>
      <c r="F38" s="149" t="str">
        <f>F11</f>
        <v/>
      </c>
      <c r="G38" s="149">
        <f ca="1">IF(F36="",IF(E36="",1,D38),E38)*(1+G35-C37)</f>
        <v>0.87409170918367352</v>
      </c>
      <c r="I38" s="43"/>
    </row>
    <row r="39" spans="1:9" ht="15.75" customHeight="1">
      <c r="B39" s="85" t="s">
        <v>311</v>
      </c>
      <c r="C39" s="145"/>
      <c r="D39" s="279" t="str">
        <f>IF(D37="","",D37/D38)</f>
        <v/>
      </c>
      <c r="E39" s="279" t="str">
        <f>IF(E37="","",E37/E38)</f>
        <v/>
      </c>
      <c r="F39" s="279" t="str">
        <f>IF(F37="","",F37/F38)</f>
        <v/>
      </c>
      <c r="G39" s="279">
        <f ca="1">G37/G38</f>
        <v>-1.0987313936436707</v>
      </c>
      <c r="I39" s="43"/>
    </row>
    <row r="40" spans="1:9" ht="15.75" customHeight="1">
      <c r="B40" s="20" t="s">
        <v>333</v>
      </c>
      <c r="C40" s="6"/>
      <c r="D40" s="6"/>
      <c r="E40" s="390" t="s">
        <v>321</v>
      </c>
      <c r="F40" s="368"/>
      <c r="G40" s="280">
        <f>Asset_Model!D7</f>
        <v>1.3234864111275597</v>
      </c>
    </row>
    <row r="41" spans="1:9" ht="15.75" customHeight="1">
      <c r="C41" s="6"/>
      <c r="D41" s="6"/>
      <c r="E41" s="388" t="s">
        <v>307</v>
      </c>
      <c r="F41" s="388"/>
      <c r="G41" s="281">
        <f ca="1">MAX((G40+SUM(D39:G39))*Exchange_Rate,0)</f>
        <v>0.22475501748388904</v>
      </c>
    </row>
    <row r="42" spans="1:9" ht="15.75" customHeight="1"/>
    <row r="43" spans="1:9" ht="15.75" customHeight="1">
      <c r="A43" s="4"/>
      <c r="B43" s="254" t="s">
        <v>334</v>
      </c>
      <c r="C43" s="6"/>
      <c r="D43" s="6"/>
      <c r="E43" s="22" t="s">
        <v>189</v>
      </c>
      <c r="F43" s="22" t="s">
        <v>327</v>
      </c>
      <c r="G43" s="22" t="s">
        <v>328</v>
      </c>
      <c r="H43" s="84"/>
      <c r="I43" s="104"/>
    </row>
    <row r="44" spans="1:9" ht="15.75" customHeight="1">
      <c r="B44" s="76" t="s">
        <v>279</v>
      </c>
      <c r="C44" s="261">
        <f ca="1">MIN(G24,G41)+ABS(G24-G41)*Qualitative_Analysis!$E$8</f>
        <v>8.2637388301155497</v>
      </c>
      <c r="D44" s="262" t="str">
        <f>Dashboard!J4</f>
        <v>HKD</v>
      </c>
      <c r="E44" s="263">
        <f ca="1">(C44-G16)/C9</f>
        <v>-2.4059062230264461</v>
      </c>
      <c r="F44" s="263">
        <f ca="1">C44/(Data!C29*Exchange_Rate*Data!C4/Common_Shares)</f>
        <v>1.5893415079303412</v>
      </c>
      <c r="G44" s="263">
        <f ca="1">C44/(Data!C7*Data!C4*Exchange_Rate/Common_Shares)</f>
        <v>0.61006795668593738</v>
      </c>
      <c r="I44" s="43"/>
    </row>
    <row r="45" spans="1:9" ht="15.75" customHeight="1">
      <c r="B45" s="6" t="s">
        <v>314</v>
      </c>
      <c r="C45" s="255">
        <f>C4*Data!C4*1/Common_Shares*Exchange_Rate</f>
        <v>13.545603796348407</v>
      </c>
      <c r="D45" s="256" t="str">
        <f>D44</f>
        <v>HKD</v>
      </c>
      <c r="E45" s="223">
        <f>(C45-G16)/C9</f>
        <v>-4.4032421175502856</v>
      </c>
      <c r="F45" s="223">
        <f>C45/(Asset_Model!I3*Exchange_Rate*Data!C4/Common_Shares)</f>
        <v>2.6564754301638298</v>
      </c>
      <c r="G45" s="223">
        <f>C45/(Data!C7*Data!C4*Exchange_Rate/Common_Shares)</f>
        <v>1</v>
      </c>
      <c r="I45" s="43"/>
    </row>
    <row r="46" spans="1:9" ht="15.75" customHeight="1">
      <c r="B46" s="257" t="s">
        <v>315</v>
      </c>
      <c r="C46" s="258">
        <f ca="1">MIN(C45,C44)+ABS(C45-C44)*Qualitative_Analysis!E64</f>
        <v>10.751874505280242</v>
      </c>
      <c r="D46" s="256" t="str">
        <f>D45</f>
        <v>HKD</v>
      </c>
      <c r="E46" s="223">
        <f ca="1">(C46-G16)/C9</f>
        <v>-3.346794096196783</v>
      </c>
      <c r="F46" s="223">
        <f ca="1">C46/(Asset_Model!I3*Exchange_Rate*Data!C4/Common_Shares)</f>
        <v>2.1085874709536054</v>
      </c>
      <c r="G46" s="223">
        <f ca="1">C46/(Data!C7*Data!C4*Exchange_Rate/Common_Shares)</f>
        <v>0.79375380137566898</v>
      </c>
    </row>
    <row r="47" spans="1:9" ht="15.75" customHeight="1">
      <c r="B47" s="84" t="s">
        <v>280</v>
      </c>
      <c r="C47" s="259">
        <f ca="1">MAX(G41,C44)/(1+Dashboard!I14)</f>
        <v>6.6109910640924401</v>
      </c>
      <c r="D47" s="260" t="str">
        <f>D45</f>
        <v>HKD</v>
      </c>
      <c r="E47" s="224">
        <f ca="1">(C47-G16)/C9</f>
        <v>-1.7809200753729104</v>
      </c>
      <c r="F47" s="224">
        <f ca="1">C47/(Asset_Model!I3*Exchange_Rate*Data!C4/Common_Shares)</f>
        <v>1.2965044301331556</v>
      </c>
      <c r="G47" s="224">
        <f ca="1">C47/(Data!C7*Data!C4*Exchange_Rate/Common_Shares)</f>
        <v>0.48805436534874996</v>
      </c>
    </row>
    <row r="48" spans="1:9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</sheetData>
  <mergeCells count="5">
    <mergeCell ref="E17:E18"/>
    <mergeCell ref="E20:F20"/>
    <mergeCell ref="E24:F24"/>
    <mergeCell ref="E41:F41"/>
    <mergeCell ref="E40:F40"/>
  </mergeCells>
  <phoneticPr fontId="31" type="noConversion"/>
  <conditionalFormatting sqref="D10:D12">
    <cfRule type="containsBlanks" dxfId="5" priority="2">
      <formula>LEN(TRIM(D10))=0</formula>
    </cfRule>
  </conditionalFormatting>
  <conditionalFormatting sqref="D35:D39">
    <cfRule type="containsBlanks" dxfId="4" priority="1">
      <formula>LEN(TRIM(D35))=0</formula>
    </cfRule>
  </conditionalFormatting>
  <conditionalFormatting sqref="D22:G23">
    <cfRule type="cellIs" dxfId="3" priority="7" operator="equal">
      <formula>#REF!</formula>
    </cfRule>
  </conditionalFormatting>
  <conditionalFormatting sqref="E4:F12">
    <cfRule type="containsBlanks" dxfId="2" priority="3">
      <formula>LEN(TRIM(E4))=0</formula>
    </cfRule>
  </conditionalFormatting>
  <conditionalFormatting sqref="E28:F39">
    <cfRule type="containsBlanks" dxfId="1" priority="21">
      <formula>LEN(TRIM(E28))=0</formula>
    </cfRule>
  </conditionalFormatting>
  <conditionalFormatting sqref="G28:G32">
    <cfRule type="containsBlanks" dxfId="0" priority="8">
      <formula>LEN(TRIM(G28))=0</formula>
    </cfRule>
  </conditionalFormatting>
  <dataValidations disablePrompts="1" count="3">
    <dataValidation type="list" allowBlank="1" showInputMessage="1" showErrorMessage="1" sqref="C21" xr:uid="{B6E9FFE5-BFA5-4858-88BE-381E3175A48C}">
      <formula1>"P/E, P/S, P/D, P/FCFF"</formula1>
    </dataValidation>
    <dataValidation type="list" allowBlank="1" showInputMessage="1" showErrorMessage="1" sqref="B7" xr:uid="{2C6973E3-4A73-4B2B-9055-BF048B4B0CE8}">
      <formula1>"Reinvestment, Payout"</formula1>
    </dataValidation>
    <dataValidation type="list" allowBlank="1" showInputMessage="1" showErrorMessage="1" sqref="B4" xr:uid="{743E335E-0ED4-4415-9DAA-D3404BAA98AF}">
      <formula1>"Sales, NOPAT"</formula1>
    </dataValidation>
  </dataValidations>
  <pageMargins left="0.7" right="0.7" top="0.75" bottom="0.75" header="0" footer="0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>
    <outlinePr summaryBelow="0" summaryRight="0"/>
  </sheetPr>
  <dimension ref="A2:H77"/>
  <sheetViews>
    <sheetView showGridLines="0" zoomScaleNormal="100" workbookViewId="0">
      <selection activeCell="G15" sqref="G15"/>
    </sheetView>
  </sheetViews>
  <sheetFormatPr defaultColWidth="12.46484375" defaultRowHeight="15" customHeight="1"/>
  <cols>
    <col min="1" max="1" width="2.46484375" style="3" customWidth="1"/>
    <col min="2" max="2" width="62.46484375" style="3" customWidth="1"/>
    <col min="3" max="3" width="28.59765625" style="3" customWidth="1"/>
    <col min="4" max="4" width="10.59765625" style="3" customWidth="1"/>
    <col min="5" max="5" width="28.59765625" style="3" customWidth="1"/>
    <col min="6" max="6" width="5.73046875" style="3" customWidth="1"/>
    <col min="7" max="7" width="73.796875" style="3" customWidth="1"/>
    <col min="8" max="16384" width="12.46484375" style="3"/>
  </cols>
  <sheetData>
    <row r="2" spans="1:7">
      <c r="A2" s="4"/>
      <c r="B2" s="11" t="s">
        <v>126</v>
      </c>
      <c r="C2" s="59"/>
      <c r="D2" s="12"/>
      <c r="E2" s="6"/>
      <c r="G2" s="42" t="s">
        <v>117</v>
      </c>
    </row>
    <row r="3" spans="1:7" ht="13.9">
      <c r="B3" s="6" t="s">
        <v>231</v>
      </c>
      <c r="C3" s="60"/>
      <c r="D3" s="58">
        <f>IF(E3="Strongly disagree",0,IF(E3="disagree",1,IF(E3="unclear",2,IF(E3="agree",3,4))))</f>
        <v>3</v>
      </c>
      <c r="E3" s="216" t="s">
        <v>128</v>
      </c>
      <c r="G3" s="47" t="s">
        <v>255</v>
      </c>
    </row>
    <row r="4" spans="1:7" ht="13.9">
      <c r="B4" s="6" t="s">
        <v>233</v>
      </c>
      <c r="C4" s="60"/>
      <c r="D4" s="58">
        <f t="shared" ref="D4" si="0">IF(E4="Strongly disagree",0,IF(E4="disagree",1,IF(E4="unclear",2,IF(E4="agree",3,4))))</f>
        <v>2</v>
      </c>
      <c r="E4" s="175" t="s">
        <v>127</v>
      </c>
      <c r="G4" s="45"/>
    </row>
    <row r="5" spans="1:7" ht="13.9">
      <c r="B5" s="6" t="s">
        <v>228</v>
      </c>
      <c r="C5" s="60"/>
      <c r="D5" s="58">
        <f>AVERAGE(D12:D16)</f>
        <v>2</v>
      </c>
      <c r="E5" s="170" t="str">
        <f>IF(D5&gt;=3.5,"Strongly agree",IF(D5&gt;=2.5,"agree",IF(D5&gt;=1.5,"unclear",IF(D5&gt;=0.5,"disagree","Strongly disagree"))))</f>
        <v>unclear</v>
      </c>
      <c r="G5" s="45"/>
    </row>
    <row r="6" spans="1:7" ht="13.9">
      <c r="B6" s="6" t="s">
        <v>229</v>
      </c>
      <c r="C6" s="60"/>
      <c r="D6" s="58">
        <f>AVERAGE(D24:D28)</f>
        <v>1.6</v>
      </c>
      <c r="E6" s="170" t="str">
        <f>IF(D6&gt;=3.5,"Strongly agree",IF(D6&gt;=2.5,"agree",IF(D6&gt;=1.5,"unclear",IF(D6&gt;=0.5,"disagree","Strongly disagree"))))</f>
        <v>unclear</v>
      </c>
      <c r="G6" s="45"/>
    </row>
    <row r="7" spans="1:7" ht="13.9">
      <c r="B7" s="6" t="s">
        <v>230</v>
      </c>
      <c r="C7" s="60"/>
      <c r="D7" s="63">
        <f>IF(E7="Strongly disagree",0,IF(E7="disagree",1,IF(E7="unclear",2,IF(E7="agree",3,4))))</f>
        <v>2</v>
      </c>
      <c r="E7" s="22" t="str">
        <f>IF(D64&gt;=3.5,"Strongly agree",IF(D64&gt;=2.5,"agree",IF(D64&gt;=1.5,"unclear",IF(D64&gt;=0.5,"disagree","Strongly disagree"))))</f>
        <v>unclear</v>
      </c>
      <c r="G7" s="47"/>
    </row>
    <row r="8" spans="1:7" ht="13.9">
      <c r="B8" s="61" t="s">
        <v>129</v>
      </c>
      <c r="C8" s="60"/>
      <c r="D8" s="58">
        <f>AVERAGE(D3:D7)</f>
        <v>2.12</v>
      </c>
      <c r="E8" s="215">
        <f>D8/4</f>
        <v>0.53</v>
      </c>
      <c r="G8" s="45"/>
    </row>
    <row r="9" spans="1:7" ht="13.9">
      <c r="B9" s="60"/>
      <c r="C9" s="60"/>
      <c r="E9" s="6"/>
      <c r="G9" s="45"/>
    </row>
    <row r="10" spans="1:7" ht="15" customHeight="1">
      <c r="A10" s="4"/>
      <c r="B10" s="11" t="s">
        <v>130</v>
      </c>
      <c r="C10" s="16"/>
      <c r="D10" s="16"/>
      <c r="E10" s="12"/>
      <c r="G10" s="119"/>
    </row>
    <row r="11" spans="1:7" ht="15" customHeight="1">
      <c r="B11" s="62" t="s">
        <v>131</v>
      </c>
      <c r="C11" s="57"/>
      <c r="E11" s="6"/>
      <c r="G11" s="119"/>
    </row>
    <row r="12" spans="1:7" ht="15" customHeight="1">
      <c r="B12" s="32" t="s">
        <v>232</v>
      </c>
      <c r="D12" s="63">
        <f>IF(E12="Strongly disagree",0,IF(E12="disagree",1,IF(E12="unclear",2,IF(E12="agree",3,4))))</f>
        <v>0</v>
      </c>
      <c r="E12" s="175" t="s">
        <v>150</v>
      </c>
      <c r="F12" s="6"/>
      <c r="G12" s="119"/>
    </row>
    <row r="13" spans="1:7" ht="15" customHeight="1">
      <c r="B13" s="32" t="s">
        <v>132</v>
      </c>
      <c r="D13" s="63">
        <f>IF(E13="Strongly disagree",0,IF(E13="disagree",1,IF(E13="unclear",2,IF(E13="agree",3,4))))</f>
        <v>4</v>
      </c>
      <c r="E13" s="175" t="s">
        <v>137</v>
      </c>
      <c r="F13" s="6"/>
      <c r="G13" s="119"/>
    </row>
    <row r="14" spans="1:7" ht="15" customHeight="1">
      <c r="B14" s="32" t="s">
        <v>133</v>
      </c>
      <c r="D14" s="63">
        <f>IF(E14="Strongly disagree",0,IF(E14="disagree",1,IF(E14="unclear",2,IF(E14="agree",3,4))))</f>
        <v>3</v>
      </c>
      <c r="E14" s="175" t="s">
        <v>128</v>
      </c>
      <c r="F14" s="6"/>
      <c r="G14" s="119" t="s">
        <v>339</v>
      </c>
    </row>
    <row r="15" spans="1:7" ht="15" customHeight="1">
      <c r="B15" s="32" t="s">
        <v>134</v>
      </c>
      <c r="D15" s="63">
        <f>IF(E15="Strongly disagree",0,IF(E15="disagree",1,IF(E15="unclear",2,IF(E15="agree",3,4))))</f>
        <v>0</v>
      </c>
      <c r="E15" s="175" t="s">
        <v>150</v>
      </c>
      <c r="F15" s="6"/>
      <c r="G15" s="119" t="s">
        <v>340</v>
      </c>
    </row>
    <row r="16" spans="1:7" ht="15" customHeight="1">
      <c r="B16" s="32" t="s">
        <v>136</v>
      </c>
      <c r="D16" s="63">
        <f>IF(E16="Strongly disagree",0,IF(E16="disagree",1,IF(E16="unclear",2,IF(E16="agree",3,4))))</f>
        <v>3</v>
      </c>
      <c r="E16" s="175" t="s">
        <v>128</v>
      </c>
      <c r="F16" s="6"/>
      <c r="G16" s="119"/>
    </row>
    <row r="17" spans="2:7" ht="15" customHeight="1">
      <c r="B17" s="62" t="s">
        <v>138</v>
      </c>
      <c r="D17" s="25"/>
      <c r="E17" s="18"/>
      <c r="G17" s="119"/>
    </row>
    <row r="18" spans="2:7" ht="15" customHeight="1">
      <c r="B18" s="32" t="s">
        <v>252</v>
      </c>
      <c r="D18" s="63">
        <f>Asset_Model!J28</f>
        <v>4</v>
      </c>
      <c r="E18" s="18" t="str">
        <f>IF(D18&gt;=3.5,"Strongly agree",IF(D18&gt;=2.5,"agree",IF(D18&gt;=1.5,"unclear",IF(D18&gt;=0.5,"disagree","Strongly disagree"))))</f>
        <v>Strongly agree</v>
      </c>
      <c r="F18" s="6"/>
      <c r="G18" s="119"/>
    </row>
    <row r="19" spans="2:7" ht="15" customHeight="1">
      <c r="B19" s="32" t="s">
        <v>139</v>
      </c>
      <c r="D19" s="63">
        <f t="shared" ref="D19:D22" si="1">IF(E19="Strongly disagree",0,IF(E19="disagree",1,IF(E19="unclear",2,IF(E19="agree",3,4))))</f>
        <v>2</v>
      </c>
      <c r="E19" s="175" t="s">
        <v>127</v>
      </c>
      <c r="F19" s="6"/>
      <c r="G19" s="119" t="s">
        <v>349</v>
      </c>
    </row>
    <row r="20" spans="2:7" ht="15" customHeight="1">
      <c r="B20" s="32" t="s">
        <v>140</v>
      </c>
      <c r="D20" s="63">
        <f t="shared" si="1"/>
        <v>0</v>
      </c>
      <c r="E20" s="175" t="s">
        <v>150</v>
      </c>
      <c r="F20" s="6"/>
      <c r="G20" s="119" t="s">
        <v>341</v>
      </c>
    </row>
    <row r="21" spans="2:7" ht="15" customHeight="1">
      <c r="B21" s="32" t="s">
        <v>141</v>
      </c>
      <c r="D21" s="63">
        <f t="shared" si="1"/>
        <v>2</v>
      </c>
      <c r="E21" s="175" t="s">
        <v>127</v>
      </c>
      <c r="F21" s="6"/>
      <c r="G21" s="119"/>
    </row>
    <row r="22" spans="2:7" ht="15" customHeight="1">
      <c r="B22" s="32" t="s">
        <v>142</v>
      </c>
      <c r="D22" s="63">
        <f t="shared" si="1"/>
        <v>1</v>
      </c>
      <c r="E22" s="175" t="s">
        <v>135</v>
      </c>
      <c r="F22" s="6"/>
      <c r="G22" s="119"/>
    </row>
    <row r="23" spans="2:7" ht="15" customHeight="1">
      <c r="B23" s="62" t="s">
        <v>143</v>
      </c>
      <c r="D23" s="25"/>
      <c r="E23" s="18"/>
      <c r="G23" s="119"/>
    </row>
    <row r="24" spans="2:7" ht="15" customHeight="1">
      <c r="B24" s="32" t="s">
        <v>144</v>
      </c>
      <c r="D24" s="63">
        <f t="shared" ref="D24:D28" si="2">IF(E24="Strongly disagree",0,IF(E24="disagree",1,IF(E24="unclear",2,IF(E24="agree",3,4))))</f>
        <v>0</v>
      </c>
      <c r="E24" s="175" t="s">
        <v>150</v>
      </c>
      <c r="F24" s="6"/>
      <c r="G24" s="119"/>
    </row>
    <row r="25" spans="2:7" ht="15" customHeight="1">
      <c r="B25" s="32" t="s">
        <v>145</v>
      </c>
      <c r="D25" s="63">
        <f t="shared" si="2"/>
        <v>2</v>
      </c>
      <c r="E25" s="175" t="s">
        <v>127</v>
      </c>
      <c r="F25" s="6"/>
      <c r="G25" s="119"/>
    </row>
    <row r="26" spans="2:7" ht="15" customHeight="1">
      <c r="B26" s="32" t="s">
        <v>234</v>
      </c>
      <c r="D26" s="63">
        <f t="shared" si="2"/>
        <v>2</v>
      </c>
      <c r="E26" s="175" t="s">
        <v>127</v>
      </c>
      <c r="F26" s="6"/>
      <c r="G26" s="119"/>
    </row>
    <row r="27" spans="2:7" ht="15" customHeight="1">
      <c r="B27" s="32" t="s">
        <v>235</v>
      </c>
      <c r="D27" s="63">
        <f t="shared" si="2"/>
        <v>3</v>
      </c>
      <c r="E27" s="175" t="s">
        <v>128</v>
      </c>
      <c r="F27" s="6"/>
      <c r="G27" s="119"/>
    </row>
    <row r="28" spans="2:7" ht="15" customHeight="1">
      <c r="B28" s="32" t="s">
        <v>146</v>
      </c>
      <c r="D28" s="63">
        <f t="shared" si="2"/>
        <v>1</v>
      </c>
      <c r="E28" s="175" t="s">
        <v>135</v>
      </c>
      <c r="F28" s="6"/>
      <c r="G28" s="119"/>
    </row>
    <row r="29" spans="2:7" ht="15" customHeight="1">
      <c r="B29" s="62" t="s">
        <v>147</v>
      </c>
      <c r="D29" s="25"/>
      <c r="E29" s="18"/>
      <c r="G29" s="119"/>
    </row>
    <row r="30" spans="2:7" ht="15" customHeight="1">
      <c r="B30" s="1" t="s">
        <v>148</v>
      </c>
      <c r="D30" s="64">
        <f>SUM(D31:D35)/(5*4)</f>
        <v>0.35</v>
      </c>
      <c r="E30" s="18" t="str">
        <f>IF(D30&gt;80%,"Very High",IF(D30&lt;=20%,"Very Low",IF(D30&lt;=40%,"Low",IF(D30&lt;=60%,"Medium","High"))))</f>
        <v>Low</v>
      </c>
      <c r="F30" s="6"/>
      <c r="G30" s="119"/>
    </row>
    <row r="31" spans="2:7" ht="15" customHeight="1">
      <c r="B31" s="32" t="s">
        <v>149</v>
      </c>
      <c r="D31" s="63">
        <f t="shared" ref="D31:D35" si="3">IF(E31="Strongly disagree",0,IF(E31="disagree",1,IF(E31="unclear",2,IF(E31="agree",3,4))))</f>
        <v>0</v>
      </c>
      <c r="E31" s="175" t="s">
        <v>150</v>
      </c>
      <c r="F31" s="6"/>
      <c r="G31" s="119"/>
    </row>
    <row r="32" spans="2:7" ht="15" customHeight="1">
      <c r="B32" s="32" t="s">
        <v>236</v>
      </c>
      <c r="D32" s="63">
        <f t="shared" si="3"/>
        <v>2</v>
      </c>
      <c r="E32" s="175" t="s">
        <v>127</v>
      </c>
      <c r="F32" s="6"/>
      <c r="G32" s="119"/>
    </row>
    <row r="33" spans="2:7" ht="15" customHeight="1">
      <c r="B33" s="32" t="s">
        <v>237</v>
      </c>
      <c r="D33" s="63">
        <f t="shared" si="3"/>
        <v>0</v>
      </c>
      <c r="E33" s="175" t="s">
        <v>150</v>
      </c>
      <c r="F33" s="6"/>
      <c r="G33" s="119"/>
    </row>
    <row r="34" spans="2:7" ht="15" customHeight="1">
      <c r="B34" s="32" t="s">
        <v>238</v>
      </c>
      <c r="D34" s="63">
        <f t="shared" si="3"/>
        <v>2</v>
      </c>
      <c r="E34" s="175" t="s">
        <v>127</v>
      </c>
      <c r="F34" s="6"/>
      <c r="G34" s="119"/>
    </row>
    <row r="35" spans="2:7" ht="15" customHeight="1">
      <c r="B35" s="32" t="s">
        <v>254</v>
      </c>
      <c r="D35" s="63">
        <f t="shared" si="3"/>
        <v>3</v>
      </c>
      <c r="E35" s="175" t="s">
        <v>128</v>
      </c>
      <c r="G35" s="119"/>
    </row>
    <row r="36" spans="2:7" ht="15" customHeight="1">
      <c r="B36" s="1" t="s">
        <v>151</v>
      </c>
      <c r="D36" s="64">
        <f>SUM(D37:D41)/(5*4)</f>
        <v>0.8</v>
      </c>
      <c r="E36" s="18" t="str">
        <f>IF(D36&gt;80%,"Very High",IF(D36&lt;=20%,"Very Low",IF(D36&lt;=40%,"Low",IF(D36&lt;=60%,"Medium","High"))))</f>
        <v>High</v>
      </c>
      <c r="F36" s="6"/>
      <c r="G36" s="119"/>
    </row>
    <row r="37" spans="2:7" ht="15" customHeight="1">
      <c r="B37" s="32" t="s">
        <v>152</v>
      </c>
      <c r="D37" s="63">
        <f t="shared" ref="D37:D41" si="4">IF(E37="Strongly disagree",0,IF(E37="disagree",1,IF(E37="unclear",2,IF(E37="agree",3,4))))</f>
        <v>4</v>
      </c>
      <c r="E37" s="175" t="s">
        <v>137</v>
      </c>
      <c r="F37" s="6"/>
      <c r="G37" s="119"/>
    </row>
    <row r="38" spans="2:7" ht="15" customHeight="1">
      <c r="B38" s="32" t="s">
        <v>239</v>
      </c>
      <c r="D38" s="63">
        <f t="shared" si="4"/>
        <v>4</v>
      </c>
      <c r="E38" s="175" t="s">
        <v>137</v>
      </c>
      <c r="F38" s="6"/>
      <c r="G38" s="119"/>
    </row>
    <row r="39" spans="2:7" ht="15" customHeight="1">
      <c r="B39" s="32" t="s">
        <v>240</v>
      </c>
      <c r="D39" s="63">
        <f t="shared" si="4"/>
        <v>4</v>
      </c>
      <c r="E39" s="175" t="s">
        <v>137</v>
      </c>
      <c r="F39" s="6"/>
      <c r="G39" s="119"/>
    </row>
    <row r="40" spans="2:7" ht="15" customHeight="1">
      <c r="B40" s="32" t="s">
        <v>241</v>
      </c>
      <c r="D40" s="63">
        <f t="shared" si="4"/>
        <v>4</v>
      </c>
      <c r="E40" s="175" t="s">
        <v>137</v>
      </c>
      <c r="F40" s="6"/>
      <c r="G40" s="119"/>
    </row>
    <row r="41" spans="2:7" ht="15" customHeight="1">
      <c r="B41" s="32" t="s">
        <v>242</v>
      </c>
      <c r="D41" s="63">
        <f t="shared" si="4"/>
        <v>0</v>
      </c>
      <c r="E41" s="175" t="s">
        <v>150</v>
      </c>
      <c r="G41" s="119"/>
    </row>
    <row r="42" spans="2:7" ht="15" customHeight="1">
      <c r="B42" s="1" t="s">
        <v>153</v>
      </c>
      <c r="D42" s="64">
        <f>SUM(D43:D48)/(6*4)</f>
        <v>0.33333333333333331</v>
      </c>
      <c r="E42" s="18" t="str">
        <f>IF(D42&gt;80%,"Very High",IF(D42&lt;=20%,"Very Low",IF(D42&lt;=40%,"Low",IF(D42&lt;=60%,"Medium","High"))))</f>
        <v>Low</v>
      </c>
      <c r="F42" s="6"/>
      <c r="G42" s="119"/>
    </row>
    <row r="43" spans="2:7" ht="15" customHeight="1">
      <c r="B43" s="32" t="s">
        <v>154</v>
      </c>
      <c r="D43" s="63">
        <f t="shared" ref="D43:D48" si="5">IF(E43="Strongly disagree",0,IF(E43="disagree",1,IF(E43="unclear",2,IF(E43="agree",3,4))))</f>
        <v>3</v>
      </c>
      <c r="E43" s="175" t="s">
        <v>128</v>
      </c>
      <c r="F43" s="6"/>
      <c r="G43" s="119"/>
    </row>
    <row r="44" spans="2:7" ht="15" customHeight="1">
      <c r="B44" s="32" t="s">
        <v>155</v>
      </c>
      <c r="D44" s="63">
        <f t="shared" si="5"/>
        <v>1</v>
      </c>
      <c r="E44" s="175" t="s">
        <v>135</v>
      </c>
      <c r="F44" s="6"/>
      <c r="G44" s="119"/>
    </row>
    <row r="45" spans="2:7" ht="15" customHeight="1">
      <c r="B45" s="32" t="s">
        <v>156</v>
      </c>
      <c r="D45" s="63">
        <f t="shared" si="5"/>
        <v>1</v>
      </c>
      <c r="E45" s="175" t="s">
        <v>135</v>
      </c>
      <c r="F45" s="6"/>
      <c r="G45" s="119"/>
    </row>
    <row r="46" spans="2:7" ht="15" customHeight="1">
      <c r="B46" s="32" t="s">
        <v>157</v>
      </c>
      <c r="D46" s="63">
        <f t="shared" si="5"/>
        <v>0</v>
      </c>
      <c r="E46" s="175" t="s">
        <v>150</v>
      </c>
      <c r="F46" s="6"/>
      <c r="G46" s="119"/>
    </row>
    <row r="47" spans="2:7" ht="15" customHeight="1">
      <c r="B47" s="32" t="s">
        <v>158</v>
      </c>
      <c r="D47" s="63">
        <f t="shared" si="5"/>
        <v>3</v>
      </c>
      <c r="E47" s="175" t="s">
        <v>128</v>
      </c>
      <c r="F47" s="6"/>
      <c r="G47" s="119"/>
    </row>
    <row r="48" spans="2:7" ht="15" customHeight="1">
      <c r="B48" s="32" t="s">
        <v>184</v>
      </c>
      <c r="D48" s="63">
        <f t="shared" si="5"/>
        <v>0</v>
      </c>
      <c r="E48" s="175" t="s">
        <v>150</v>
      </c>
      <c r="F48" s="6"/>
      <c r="G48" s="119"/>
    </row>
    <row r="49" spans="2:8" ht="15" customHeight="1">
      <c r="B49" s="1" t="s">
        <v>159</v>
      </c>
      <c r="D49" s="64">
        <f>SUM(D50:D54)/(5*4)</f>
        <v>0.34523809523809523</v>
      </c>
      <c r="E49" s="18" t="str">
        <f>IF(D49&gt;80%,"Very High",IF(D49&lt;=20%,"Very Low",IF(D49&lt;=40%,"Low",IF(D49&lt;=60%,"Medium","High"))))</f>
        <v>Low</v>
      </c>
      <c r="F49" s="6"/>
      <c r="G49" s="119"/>
    </row>
    <row r="50" spans="2:8" ht="15" customHeight="1">
      <c r="B50" s="32" t="s">
        <v>160</v>
      </c>
      <c r="D50" s="63">
        <f t="shared" ref="D50:D52" si="6">IF(E50="Strongly disagree",0,IF(E50="disagree",1,IF(E50="unclear",2,IF(E50="agree",3,4))))</f>
        <v>0</v>
      </c>
      <c r="E50" s="175" t="s">
        <v>150</v>
      </c>
      <c r="G50" s="119"/>
    </row>
    <row r="51" spans="2:8" ht="15" customHeight="1">
      <c r="B51" s="32" t="s">
        <v>161</v>
      </c>
      <c r="D51" s="63">
        <f t="shared" si="6"/>
        <v>0</v>
      </c>
      <c r="E51" s="175" t="s">
        <v>150</v>
      </c>
      <c r="F51" s="6"/>
      <c r="G51" s="119"/>
    </row>
    <row r="52" spans="2:8" ht="15" customHeight="1">
      <c r="B52" s="32" t="s">
        <v>243</v>
      </c>
      <c r="D52" s="63">
        <f t="shared" si="6"/>
        <v>2</v>
      </c>
      <c r="E52" s="175" t="s">
        <v>127</v>
      </c>
      <c r="G52" s="119"/>
    </row>
    <row r="53" spans="2:8" ht="15" customHeight="1">
      <c r="B53" s="32" t="s">
        <v>244</v>
      </c>
      <c r="D53" s="63">
        <f>IF(E53="Strongly disagree",0,IF(E53="disagree",1,IF(E53="unclear",2,IF(E53="agree",3,4))))</f>
        <v>3</v>
      </c>
      <c r="E53" s="175" t="s">
        <v>128</v>
      </c>
      <c r="F53" s="32"/>
      <c r="G53" s="119"/>
      <c r="H53" s="32"/>
    </row>
    <row r="54" spans="2:8" ht="15" customHeight="1">
      <c r="B54" s="32" t="s">
        <v>245</v>
      </c>
      <c r="D54" s="65">
        <f t="array" ref="D54">(1-INDEX(B68:E77,MATCH(E54,B68:B77,0),4))*4</f>
        <v>1.9047619047619047</v>
      </c>
      <c r="E54" s="175" t="s">
        <v>329</v>
      </c>
      <c r="F54" s="32"/>
      <c r="G54" s="119"/>
      <c r="H54" s="32"/>
    </row>
    <row r="55" spans="2:8" ht="15" customHeight="1">
      <c r="B55" s="1" t="s">
        <v>162</v>
      </c>
      <c r="D55" s="66">
        <f>SUM(D56:D61)/(6*4)</f>
        <v>0.5</v>
      </c>
      <c r="E55" s="18" t="str">
        <f>IF(D55&gt;80%,"Very High",IF(D55&lt;=20%,"Very Low",IF(D55&lt;=40%,"Low",IF(D55&lt;=60%,"Medium","High"))))</f>
        <v>Medium</v>
      </c>
      <c r="F55" s="32"/>
      <c r="G55" s="119"/>
      <c r="H55" s="32"/>
    </row>
    <row r="56" spans="2:8" ht="15" customHeight="1">
      <c r="B56" s="32" t="s">
        <v>163</v>
      </c>
      <c r="D56" s="63">
        <f t="shared" ref="D56:D60" si="7">IF(E56="Strongly disagree",0,IF(E56="disagree",1,IF(E56="unclear",2,IF(E56="agree",3,4))))</f>
        <v>1</v>
      </c>
      <c r="E56" s="175" t="s">
        <v>135</v>
      </c>
      <c r="F56" s="32"/>
      <c r="G56" s="119"/>
      <c r="H56" s="32"/>
    </row>
    <row r="57" spans="2:8" ht="15" customHeight="1">
      <c r="B57" s="32" t="s">
        <v>164</v>
      </c>
      <c r="D57" s="63">
        <f t="shared" si="7"/>
        <v>0</v>
      </c>
      <c r="E57" s="175" t="s">
        <v>150</v>
      </c>
      <c r="F57" s="32"/>
      <c r="G57" s="119"/>
      <c r="H57" s="32"/>
    </row>
    <row r="58" spans="2:8" ht="15" customHeight="1">
      <c r="B58" s="32" t="s">
        <v>185</v>
      </c>
      <c r="D58" s="63">
        <f t="shared" si="7"/>
        <v>1</v>
      </c>
      <c r="E58" s="175" t="s">
        <v>135</v>
      </c>
      <c r="F58" s="32"/>
      <c r="G58" s="119"/>
      <c r="H58" s="32"/>
    </row>
    <row r="59" spans="2:8" ht="15" customHeight="1">
      <c r="B59" s="32" t="s">
        <v>186</v>
      </c>
      <c r="D59" s="63">
        <f t="shared" si="7"/>
        <v>4</v>
      </c>
      <c r="E59" s="175" t="s">
        <v>137</v>
      </c>
      <c r="F59" s="32"/>
      <c r="G59" s="119"/>
      <c r="H59" s="32"/>
    </row>
    <row r="60" spans="2:8" ht="15" customHeight="1">
      <c r="B60" s="32" t="s">
        <v>187</v>
      </c>
      <c r="D60" s="63">
        <f t="shared" si="7"/>
        <v>4</v>
      </c>
      <c r="E60" s="175" t="s">
        <v>137</v>
      </c>
      <c r="F60" s="32"/>
      <c r="G60" s="119"/>
      <c r="H60" s="32"/>
    </row>
    <row r="61" spans="2:8" ht="15" customHeight="1">
      <c r="B61" s="32" t="s">
        <v>188</v>
      </c>
      <c r="D61" s="63">
        <f>IF(E61="Strongly disagree",0,IF(E61="disagree",1,IF(E61="non-perishable",2,IF(E61="agree",3,4))))</f>
        <v>2</v>
      </c>
      <c r="E61" s="175" t="s">
        <v>297</v>
      </c>
      <c r="F61" s="32"/>
      <c r="G61" s="119"/>
      <c r="H61" s="32"/>
    </row>
    <row r="62" spans="2:8" ht="15" customHeight="1">
      <c r="B62" s="87" t="s">
        <v>165</v>
      </c>
      <c r="D62" s="80">
        <f>1-AVERAGE(D30,D36,D42,D49,D55)</f>
        <v>0.53428571428571436</v>
      </c>
      <c r="E62" s="18" t="str">
        <f>IF(D62&gt;80%,"Very Low",IF(D62&lt;=20%,"Very High",IF(D62&lt;=40%,"High",IF(D62&lt;=60%,"Medium","Low"))))</f>
        <v>Medium</v>
      </c>
      <c r="F62" s="32"/>
      <c r="G62" s="119"/>
      <c r="H62" s="32"/>
    </row>
    <row r="63" spans="2:8" ht="15" customHeight="1">
      <c r="D63" s="6"/>
      <c r="E63" s="6"/>
      <c r="G63" s="119"/>
    </row>
    <row r="64" spans="2:8" ht="15" customHeight="1">
      <c r="B64" s="61" t="s">
        <v>166</v>
      </c>
      <c r="D64" s="58">
        <f>E64*4</f>
        <v>1.8842857142857143</v>
      </c>
      <c r="E64" s="217">
        <f>AVERAGE(AVERAGE(D12:D16)/4,AVERAGE(D18:D22)/4,AVERAGE(D24:D28)/4,D62)</f>
        <v>0.47107142857142859</v>
      </c>
      <c r="G64" s="119"/>
    </row>
    <row r="65" spans="2:7" ht="15" customHeight="1">
      <c r="G65" s="120"/>
    </row>
    <row r="66" spans="2:7" ht="15" customHeight="1">
      <c r="B66" s="33" t="s">
        <v>167</v>
      </c>
      <c r="C66" s="7"/>
      <c r="D66" s="7"/>
      <c r="E66" s="34"/>
    </row>
    <row r="67" spans="2:7" ht="15" customHeight="1">
      <c r="B67" s="67" t="s">
        <v>168</v>
      </c>
      <c r="C67" s="68"/>
      <c r="D67" s="68"/>
      <c r="E67" s="69"/>
    </row>
    <row r="68" spans="2:7" ht="15" customHeight="1">
      <c r="B68" s="70" t="s">
        <v>169</v>
      </c>
      <c r="C68" s="68"/>
      <c r="D68" s="68">
        <v>1</v>
      </c>
      <c r="E68" s="71">
        <f t="shared" ref="E68:E76" si="8">D68/MAX($D$68:$D$77)</f>
        <v>3.4013605442176874E-2</v>
      </c>
    </row>
    <row r="69" spans="2:7" ht="15" customHeight="1">
      <c r="B69" s="70" t="str">
        <f t="shared" ref="B69:B77" si="9">C69&amp;", "&amp;D69&amp;"y"</f>
        <v>Information Technology Like, 6.6y</v>
      </c>
      <c r="C69" s="68" t="s">
        <v>170</v>
      </c>
      <c r="D69" s="68">
        <v>6.6</v>
      </c>
      <c r="E69" s="71">
        <f t="shared" si="8"/>
        <v>0.22448979591836735</v>
      </c>
    </row>
    <row r="70" spans="2:7" ht="15" customHeight="1">
      <c r="B70" s="70" t="str">
        <f t="shared" si="9"/>
        <v>Healthcare, 11.4y</v>
      </c>
      <c r="C70" s="68" t="s">
        <v>171</v>
      </c>
      <c r="D70" s="68">
        <v>11.4</v>
      </c>
      <c r="E70" s="71">
        <f t="shared" si="8"/>
        <v>0.38775510204081637</v>
      </c>
    </row>
    <row r="71" spans="2:7" ht="15" customHeight="1">
      <c r="B71" s="70" t="str">
        <f t="shared" si="9"/>
        <v>Consumer Discretionary, 12.4y</v>
      </c>
      <c r="C71" s="68" t="s">
        <v>172</v>
      </c>
      <c r="D71" s="68">
        <v>12.4</v>
      </c>
      <c r="E71" s="71">
        <f t="shared" si="8"/>
        <v>0.42176870748299322</v>
      </c>
    </row>
    <row r="72" spans="2:7" ht="15" customHeight="1">
      <c r="B72" s="70" t="str">
        <f t="shared" si="9"/>
        <v>Consumer Staples, 15.1y</v>
      </c>
      <c r="C72" s="68" t="s">
        <v>173</v>
      </c>
      <c r="D72" s="68">
        <v>15.1</v>
      </c>
      <c r="E72" s="71">
        <f t="shared" si="8"/>
        <v>0.51360544217687076</v>
      </c>
    </row>
    <row r="73" spans="2:7" ht="15" customHeight="1">
      <c r="B73" s="70" t="str">
        <f t="shared" si="9"/>
        <v>Industrials, 15.4y</v>
      </c>
      <c r="C73" s="68" t="s">
        <v>174</v>
      </c>
      <c r="D73" s="68">
        <v>15.4</v>
      </c>
      <c r="E73" s="71">
        <f t="shared" si="8"/>
        <v>0.52380952380952384</v>
      </c>
    </row>
    <row r="74" spans="2:7" ht="15" customHeight="1">
      <c r="B74" s="70" t="str">
        <f t="shared" si="9"/>
        <v>Telecommunication Services, 16.1y</v>
      </c>
      <c r="C74" s="68" t="s">
        <v>175</v>
      </c>
      <c r="D74" s="68">
        <v>16.100000000000001</v>
      </c>
      <c r="E74" s="71">
        <f t="shared" si="8"/>
        <v>0.54761904761904767</v>
      </c>
    </row>
    <row r="75" spans="2:7" ht="15" customHeight="1">
      <c r="B75" s="70" t="str">
        <f t="shared" si="9"/>
        <v>Energy, 17.6y</v>
      </c>
      <c r="C75" s="68" t="s">
        <v>176</v>
      </c>
      <c r="D75" s="68">
        <v>17.600000000000001</v>
      </c>
      <c r="E75" s="71">
        <f t="shared" si="8"/>
        <v>0.59863945578231303</v>
      </c>
    </row>
    <row r="76" spans="2:7" ht="15" customHeight="1">
      <c r="B76" s="70" t="str">
        <f t="shared" si="9"/>
        <v>Materials, 18.6y</v>
      </c>
      <c r="C76" s="68" t="s">
        <v>177</v>
      </c>
      <c r="D76" s="68">
        <v>18.600000000000001</v>
      </c>
      <c r="E76" s="71">
        <f t="shared" si="8"/>
        <v>0.63265306122448983</v>
      </c>
    </row>
    <row r="77" spans="2:7" ht="15" customHeight="1">
      <c r="B77" s="72" t="str">
        <f t="shared" si="9"/>
        <v>Utilities, 29.4y</v>
      </c>
      <c r="C77" s="73" t="s">
        <v>178</v>
      </c>
      <c r="D77" s="73">
        <v>29.4</v>
      </c>
      <c r="E77" s="74">
        <f>D77/MAX($D$69:$D$77)</f>
        <v>1</v>
      </c>
    </row>
  </sheetData>
  <dataConsolidate/>
  <phoneticPr fontId="31" type="noConversion"/>
  <dataValidations count="6">
    <dataValidation type="list" allowBlank="1" sqref="E30 E36 E42 E49 E55" xr:uid="{00000000-0002-0000-0400-000003000000}">
      <formula1>"Very High,High,Medium,Low,Very Low"</formula1>
    </dataValidation>
    <dataValidation type="list" allowBlank="1" sqref="E56:E60 E19:E22 E24:E28 E12:E16 E43:E48 E3:E8 E31:E35 E37:E41 E50:E53" xr:uid="{00000000-0002-0000-0400-000005000000}">
      <formula1>"Strongly agree,agree,unclear,disagree,Strongly disagree"</formula1>
    </dataValidation>
    <dataValidation type="list" allowBlank="1" sqref="E61" xr:uid="{00000000-0002-0000-0400-000009000000}">
      <formula1>"Strongly agree,agree,non-perishable,disagree,Strongly disagree"</formula1>
    </dataValidation>
    <dataValidation allowBlank="1" sqref="E7" xr:uid="{FBCCA791-86B6-4660-95B3-845402529B68}"/>
    <dataValidation type="list" allowBlank="1" showInputMessage="1" showErrorMessage="1" sqref="E54" xr:uid="{B3C242EB-7F6A-4B7F-83D0-5CE118336997}">
      <formula1>B68:B77</formula1>
    </dataValidation>
    <dataValidation type="list" allowBlank="1" sqref="E54" xr:uid="{169E40E7-6BB6-45A2-B725-216376F63A8D}">
      <formula1>$B$68:$B$77</formula1>
    </dataValidation>
  </dataValidations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2</vt:i4>
      </vt:variant>
    </vt:vector>
  </HeadingPairs>
  <TitlesOfParts>
    <vt:vector size="9" baseType="lpstr">
      <vt:lpstr>Dashboard</vt:lpstr>
      <vt:lpstr>Data</vt:lpstr>
      <vt:lpstr>Asset_Model</vt:lpstr>
      <vt:lpstr>Projections</vt:lpstr>
      <vt:lpstr>Visualizations</vt:lpstr>
      <vt:lpstr>Val_Models</vt:lpstr>
      <vt:lpstr>Qualitative_Analysis</vt:lpstr>
      <vt:lpstr>Common_Shares</vt:lpstr>
      <vt:lpstr>Exchange_Rate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Jerry.chen</dc:creator>
  <cp:keywords/>
  <dc:description/>
  <cp:lastModifiedBy>eileen zhang</cp:lastModifiedBy>
  <cp:revision/>
  <cp:lastPrinted>2023-02-17T02:44:16Z</cp:lastPrinted>
  <dcterms:created xsi:type="dcterms:W3CDTF">2022-08-10T03:52:42Z</dcterms:created>
  <dcterms:modified xsi:type="dcterms:W3CDTF">2023-08-29T11:59:56Z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583038b8</vt:lpwstr>
  </property>
</Properties>
</file>