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E5EBADF-3A84-497B-8F42-8F70B1C42C9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0" i="4" l="1"/>
  <c r="D7" i="4"/>
  <c r="C7" i="4"/>
  <c r="E10" i="7"/>
  <c r="E9" i="7"/>
  <c r="E13" i="7"/>
  <c r="E12" i="7" s="1"/>
  <c r="C13" i="7"/>
  <c r="E11" i="3"/>
  <c r="E12" i="3"/>
  <c r="C9" i="7"/>
  <c r="C35" i="1"/>
  <c r="B16" i="1"/>
  <c r="I32" i="3" l="1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H35" i="2" s="1"/>
  <c r="I34" i="2"/>
  <c r="I35" i="2" s="1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C25" i="3"/>
  <c r="I7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6" i="7" l="1"/>
  <c r="D4" i="7"/>
  <c r="D5" i="7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6" i="7" l="1"/>
  <c r="F4" i="7"/>
  <c r="F5" i="7"/>
  <c r="E11" i="7"/>
  <c r="E16" i="7" s="1"/>
  <c r="G15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C19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8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1" i="4" s="1"/>
  <c r="C32" i="4" l="1"/>
  <c r="I35" i="1" l="1"/>
  <c r="D18" i="1" s="1"/>
  <c r="E14" i="1"/>
  <c r="E27" i="4"/>
  <c r="F27" i="4"/>
  <c r="F45" i="1" l="1"/>
  <c r="F48" i="1" s="1"/>
  <c r="D16" i="1"/>
  <c r="F31" i="4"/>
  <c r="E45" i="1"/>
  <c r="E48" i="1" s="1"/>
  <c r="E31" i="4"/>
  <c r="E46" i="1"/>
  <c r="F46" i="1"/>
  <c r="F32" i="4"/>
  <c r="E32" i="4"/>
  <c r="I36" i="1"/>
  <c r="B17" i="1" s="1"/>
  <c r="D17" i="1" s="1"/>
  <c r="F50" i="1" l="1"/>
  <c r="F49" i="1"/>
  <c r="E50" i="1"/>
  <c r="E49" i="1"/>
  <c r="H17" i="1"/>
  <c r="J17" i="1"/>
  <c r="F51" i="1" l="1"/>
  <c r="E51" i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<sst xmlns="http://schemas.openxmlformats.org/spreadsheetml/2006/main" count="411" uniqueCount="341">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</sst>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13" zoomScaleNormal="100" workbookViewId="0">
      <selection activeCell="J18" sqref="J1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329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330</v>
      </c>
      <c r="D4" s="375"/>
      <c r="E4" s="6"/>
      <c r="G4" s="5" t="s">
        <v>5</v>
      </c>
      <c r="I4" s="32">
        <v>2.5499999999999998</v>
      </c>
      <c r="J4" s="33" t="s">
        <v>6</v>
      </c>
      <c r="K4" s="149"/>
    </row>
    <row r="5" spans="1:12" ht="15.75" customHeight="1">
      <c r="B5" s="5" t="s">
        <v>7</v>
      </c>
      <c r="C5" s="376">
        <v>44771</v>
      </c>
      <c r="D5" s="375"/>
      <c r="E5" s="120" t="str">
        <f ca="1">IF(C5+30&gt;=TODAY(),"Patience Premium","")</f>
        <v/>
      </c>
      <c r="G5" s="5" t="s">
        <v>8</v>
      </c>
      <c r="I5" s="386">
        <v>1826710016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4658.1105407999994</v>
      </c>
      <c r="J6" s="389"/>
      <c r="K6" s="148"/>
    </row>
    <row r="7" spans="1:12" ht="15.75" customHeight="1">
      <c r="B7" s="136" t="s">
        <v>10</v>
      </c>
      <c r="C7" s="142">
        <f>(Data!C39*Exchange_Rate)/I4</f>
        <v>3.1693322583676888E-2</v>
      </c>
      <c r="D7" s="142">
        <f>(Data!C40*Exchange_Rate)/I4</f>
        <v>1.2504211630408546E-2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255</v>
      </c>
      <c r="C10" s="279" t="s">
        <v>325</v>
      </c>
      <c r="D10" s="279">
        <v>2.8999999999999998E-2</v>
      </c>
      <c r="E10" s="5"/>
      <c r="G10" s="5" t="s">
        <v>14</v>
      </c>
      <c r="I10" s="135">
        <f>I4/(Data!C28*I12*Data!C4/Common_Shares)</f>
        <v>1.0364718030509996</v>
      </c>
      <c r="J10" s="127">
        <f>IF(Asset_Model!D60/'FCFF Model'!C4&lt;0,"Negative EV",Asset_Model!D60/'FCFF Model'!C4)</f>
        <v>16.438199555514952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1.973811082503208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2.5499999999999998</v>
      </c>
      <c r="C16" s="420">
        <v>0.25</v>
      </c>
      <c r="D16" s="156">
        <f ca="1">I35/B16-(1+J25)</f>
        <v>-9.9216262120167098E-2</v>
      </c>
      <c r="E16" s="393" t="s">
        <v>23</v>
      </c>
      <c r="F16" s="390">
        <f>('FCFF Model'!G16)*Exchange_Rate</f>
        <v>1.9065785589911606</v>
      </c>
      <c r="G16" s="393" t="s">
        <v>24</v>
      </c>
      <c r="H16" s="355">
        <f>B16-$F$16</f>
        <v>0.64342144100883925</v>
      </c>
      <c r="I16" s="411">
        <v>0</v>
      </c>
      <c r="J16" s="158">
        <f>I16/B16</f>
        <v>0</v>
      </c>
    </row>
    <row r="17" spans="1:10" ht="15.75" customHeight="1">
      <c r="B17" s="269">
        <f ca="1">(I35+I36)/2</f>
        <v>2.1993520214429245</v>
      </c>
      <c r="C17" s="421"/>
      <c r="D17" s="268">
        <f ca="1">I35/B17-(1+J25)</f>
        <v>7.6284334761468342E-2</v>
      </c>
      <c r="E17" s="394"/>
      <c r="F17" s="391"/>
      <c r="G17" s="394"/>
      <c r="H17" s="356">
        <f ca="1">B17-$F$16</f>
        <v>0.29277346245176394</v>
      </c>
      <c r="I17" s="412"/>
      <c r="J17" s="159">
        <f ca="1">I16/B17</f>
        <v>0</v>
      </c>
    </row>
    <row r="18" spans="1:10" ht="15.75" customHeight="1">
      <c r="B18" s="323">
        <f>C35</f>
        <v>2.2000000000000002</v>
      </c>
      <c r="C18" s="422"/>
      <c r="D18" s="157">
        <f ca="1">I35/B18-(1+J25)</f>
        <v>7.5908423451624296E-2</v>
      </c>
      <c r="E18" s="395"/>
      <c r="F18" s="392"/>
      <c r="G18" s="395"/>
      <c r="H18" s="357">
        <f>B18-$F$16</f>
        <v>0.2934214410088396</v>
      </c>
      <c r="I18" s="413"/>
      <c r="J18" s="160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331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332</v>
      </c>
      <c r="D22" s="398"/>
      <c r="E22" s="398"/>
      <c r="F22" s="398"/>
      <c r="G22" s="397" t="s">
        <v>334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333</v>
      </c>
      <c r="D23" s="383"/>
      <c r="E23" s="383"/>
      <c r="F23" s="383"/>
      <c r="G23" s="382" t="s">
        <v>335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328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0.2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0.2</v>
      </c>
      <c r="J27" s="414"/>
    </row>
    <row r="28" spans="1:10" ht="15.75" customHeight="1">
      <c r="B28" s="23" t="s">
        <v>34</v>
      </c>
      <c r="C28" s="436">
        <v>60000</v>
      </c>
      <c r="D28" s="398"/>
      <c r="E28" s="436"/>
      <c r="F28" s="398"/>
      <c r="G28" s="386"/>
      <c r="H28" s="387"/>
      <c r="I28" s="426">
        <f>C28+E28+G28</f>
        <v>60000</v>
      </c>
      <c r="J28" s="426"/>
    </row>
    <row r="29" spans="1:10" ht="15.75" customHeight="1">
      <c r="B29" s="23" t="s">
        <v>35</v>
      </c>
      <c r="C29" s="437">
        <v>2.2000000000000002</v>
      </c>
      <c r="D29" s="398"/>
      <c r="E29" s="437">
        <v>2.2000000000000002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4018.7620352000004</v>
      </c>
      <c r="D30" s="432"/>
      <c r="E30" s="424">
        <f>E29*$I$5/1000000</f>
        <v>4018.7620352000004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132000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132000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2.2000000000000002</v>
      </c>
      <c r="F32" s="409"/>
      <c r="G32" s="115"/>
      <c r="H32" s="115"/>
      <c r="I32" s="427">
        <f>IF(I31=0,"",I31/I28)</f>
        <v>2.2000000000000002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4018.7620352000004</v>
      </c>
      <c r="F33" s="432"/>
      <c r="G33" s="116"/>
      <c r="H33" s="116"/>
      <c r="I33" s="424">
        <f>IF(I32="","",I32*$I$5/1000000)</f>
        <v>4018.7620352000004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2.2000000000000002</v>
      </c>
      <c r="D35" s="365"/>
      <c r="G35" s="366" t="s">
        <v>317</v>
      </c>
      <c r="H35" s="367"/>
      <c r="I35" s="362">
        <f ca="1">'FCFF Model'!C31</f>
        <v>2.8069985315935737</v>
      </c>
      <c r="J35" s="363"/>
    </row>
    <row r="36" spans="2:11" ht="15.75" customHeight="1">
      <c r="B36" s="143" t="s">
        <v>318</v>
      </c>
      <c r="C36" s="364">
        <f>E32</f>
        <v>2.2000000000000002</v>
      </c>
      <c r="D36" s="365"/>
      <c r="G36" s="361" t="s">
        <v>315</v>
      </c>
      <c r="H36" s="361"/>
      <c r="I36" s="362">
        <f ca="1">'FCFF Model'!C32</f>
        <v>1.5917055112922753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0.5228401360544217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0.27590842345162425</v>
      </c>
      <c r="F45" s="332">
        <f ca="1">I35/C36-1</f>
        <v>0.27590842345162425</v>
      </c>
    </row>
    <row r="46" spans="2:11" ht="15.75" customHeight="1">
      <c r="B46" s="3" t="s">
        <v>300</v>
      </c>
      <c r="E46" s="329">
        <f ca="1">'FCFF Model'!C32/C29-1</f>
        <v>-0.27649749486714759</v>
      </c>
      <c r="F46" s="332">
        <f ca="1">'FCFF Model'!C32/C36-1</f>
        <v>-0.27649749486714759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0.76847645066250858</v>
      </c>
      <c r="F48" s="329">
        <f ca="1">IF(F45&lt;=0,0,AVERAGE(F39:F41,1-F42,F45/J25))</f>
        <v>0.76847645066250858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0.99786952349855329</v>
      </c>
      <c r="F49" s="328">
        <f ca="1">IF(F46&gt;=0,100,F45/ABS(F46))</f>
        <v>0.99786952349855329</v>
      </c>
      <c r="G49" s="73"/>
    </row>
    <row r="50" spans="2:9" ht="15.75" customHeight="1">
      <c r="B50" s="3" t="s">
        <v>327</v>
      </c>
      <c r="E50" s="358">
        <f ca="1">MAX(J25*2/E45,1)</f>
        <v>1.4497563901673813</v>
      </c>
      <c r="F50" s="358">
        <f ca="1">MAX(J25*2/F45,1)</f>
        <v>1.4497563901673813</v>
      </c>
      <c r="G50" s="330"/>
      <c r="H50" s="84"/>
      <c r="I50" s="84"/>
    </row>
    <row r="51" spans="2:9" ht="15.75" customHeight="1">
      <c r="B51" s="3" t="s">
        <v>326</v>
      </c>
      <c r="E51" s="327">
        <f ca="1">MIN(MAX(E48-ABS((1-E48)/E49),0)/E50,H51)</f>
        <v>0.37003361141856456</v>
      </c>
      <c r="F51" s="327">
        <f ca="1">MIN(MAX(F48-ABS((1-F48)/F49),0)/F50,H51)</f>
        <v>0.37003361141856456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28" zoomScaleNormal="100" workbookViewId="0">
      <selection activeCell="D35" sqref="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-544315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43796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43796</v>
      </c>
      <c r="D16" s="140">
        <f>IF(D14="","",D14*(1-Operation!$D$17))</f>
        <v>327451</v>
      </c>
      <c r="E16" s="140">
        <f>IF(E14="","",E14*(1-Operation!$D$17))</f>
        <v>1334832</v>
      </c>
      <c r="F16" s="140">
        <f>IF(F14="","",F14*(1-Operation!$D$17))</f>
        <v>340781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7.4923487237038164E-2</v>
      </c>
      <c r="D17" s="126">
        <f t="shared" si="7"/>
        <v>0.25549194826352611</v>
      </c>
      <c r="E17" s="126">
        <f t="shared" si="7"/>
        <v>0.5211237857946811</v>
      </c>
      <c r="F17" s="126">
        <f t="shared" si="7"/>
        <v>0.21246784436610849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5293</v>
      </c>
      <c r="D18" s="141">
        <v>3968</v>
      </c>
      <c r="E18" s="141">
        <v>3450</v>
      </c>
      <c r="F18" s="141">
        <v>5627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19522</v>
      </c>
      <c r="D24" s="137">
        <v>19771</v>
      </c>
      <c r="E24" s="137">
        <v>12457</v>
      </c>
      <c r="F24" s="137">
        <v>28056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9661</v>
      </c>
      <c r="D26" s="137">
        <v>25878</v>
      </c>
      <c r="E26" s="137">
        <v>775</v>
      </c>
      <c r="F26" s="137">
        <v>12335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4494199</v>
      </c>
      <c r="D29" s="137">
        <v>5264755</v>
      </c>
      <c r="E29" s="137">
        <v>5418042</v>
      </c>
      <c r="F29" s="137">
        <v>4389444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-9759.4840000000004</v>
      </c>
      <c r="D33" s="236">
        <f>IF(E7="","",(D7-E7)*Asset_Model!$D$65)</f>
        <v>-17917.2</v>
      </c>
      <c r="E33" s="236">
        <f>IF(F7="","",(E7-F7)*Asset_Model!$D$65)</f>
        <v>13405.434000000001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-50809.483999999997</v>
      </c>
      <c r="D34" s="140">
        <f>IF(E7="","",D30-E30+D33+IF($C$49="Yes",D51,0))</f>
        <v>11925.8</v>
      </c>
      <c r="E34" s="140">
        <f t="shared" ref="E34:F34" si="11">IF(F7="","",E30-F30+E33+IF($C$49="Yes",E51,0))</f>
        <v>-13530.565999999999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-1.1601398301214723</v>
      </c>
      <c r="D35" s="227">
        <f t="shared" si="19"/>
        <v>3.6420105603586488E-2</v>
      </c>
      <c r="E35" s="227">
        <f t="shared" si="19"/>
        <v>-1.0136531039112037E-2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147631</v>
      </c>
      <c r="D37" s="162">
        <v>630728</v>
      </c>
      <c r="E37" s="162">
        <v>408118</v>
      </c>
      <c r="F37" s="162">
        <v>111349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58246</v>
      </c>
      <c r="D38" s="161">
        <v>22027</v>
      </c>
      <c r="E38" s="161">
        <v>0</v>
      </c>
      <c r="F38" s="161">
        <v>3002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8.0817972588376058E-2</v>
      </c>
      <c r="D39" s="167">
        <f t="shared" si="20"/>
        <v>0.34528085710129486</v>
      </c>
      <c r="E39" s="167">
        <f t="shared" si="20"/>
        <v>0.22341696077939499</v>
      </c>
      <c r="F39" s="167">
        <f t="shared" si="20"/>
        <v>6.0956035180572417E-2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3.1885739657541788E-2</v>
      </c>
      <c r="D40" s="169">
        <f t="shared" si="21"/>
        <v>1.2058290482379443E-2</v>
      </c>
      <c r="E40" s="169">
        <f t="shared" si="21"/>
        <v>0</v>
      </c>
      <c r="F40" s="169">
        <f t="shared" si="21"/>
        <v>1.6433916569711304E-3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4494199</v>
      </c>
      <c r="E3" s="153" t="str">
        <f>IF((C46-I46)=D3,"", "Error!")</f>
        <v/>
      </c>
      <c r="F3" s="6"/>
      <c r="G3" s="6"/>
      <c r="H3" s="258" t="s">
        <v>244</v>
      </c>
      <c r="I3" s="259">
        <v>4494199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2.4602695340999325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287</v>
      </c>
      <c r="I6" s="69">
        <f>C26/I26</f>
        <v>8.6617479363458436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1.9896318891153442</v>
      </c>
      <c r="E7" s="49" t="str">
        <f>Dashboard!J4</f>
        <v>HKD</v>
      </c>
      <c r="H7" s="3" t="s">
        <v>288</v>
      </c>
      <c r="I7" s="69">
        <f>C25/I26</f>
        <v>8.2361118202706152</v>
      </c>
      <c r="J7" s="6"/>
      <c r="K7" s="114"/>
    </row>
    <row r="8" spans="1:11" ht="15" customHeight="1">
      <c r="D8" s="6"/>
      <c r="H8" s="3" t="s">
        <v>289</v>
      </c>
      <c r="I8" s="69">
        <f>C24/I26</f>
        <v>7.0907199387286193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98</v>
      </c>
      <c r="I15" s="152">
        <f>I26-SUM(I11:I14)</f>
        <v>228818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290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294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56</v>
      </c>
      <c r="I26" s="64">
        <v>235020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0.8</v>
      </c>
      <c r="E32" s="27">
        <f t="shared" si="3"/>
        <v>0</v>
      </c>
      <c r="G32" s="6"/>
      <c r="H32" s="5" t="s">
        <v>116</v>
      </c>
      <c r="I32" s="152">
        <f>I42-SUM(I28:I31)</f>
        <v>8226</v>
      </c>
      <c r="J32" s="6"/>
    </row>
    <row r="33" spans="2:10" ht="14">
      <c r="B33" s="5" t="s">
        <v>117</v>
      </c>
      <c r="C33" s="64">
        <v>545758</v>
      </c>
      <c r="D33" s="65">
        <v>0.7</v>
      </c>
      <c r="E33" s="214">
        <f t="shared" si="3"/>
        <v>382030.6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197608</v>
      </c>
      <c r="D34" s="65">
        <v>0.85</v>
      </c>
      <c r="E34" s="214">
        <f t="shared" si="3"/>
        <v>167966.8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120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121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123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291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295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292</v>
      </c>
      <c r="I46" s="152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3.6967655415347652E-3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2468318</v>
      </c>
      <c r="D58" s="126">
        <f>IF(E58=0,0,E58/C58)</f>
        <v>0.74257820507730365</v>
      </c>
      <c r="E58" s="215">
        <f>E14+E15+(E19*G19)+(E20*G20)+E29+E30+(E31*G31)+(E33*G33)+(E34*G34)+(E35*G35)</f>
        <v>1832919.15</v>
      </c>
      <c r="H58" s="6"/>
    </row>
    <row r="59" spans="2:9" ht="14">
      <c r="B59" s="53" t="s">
        <v>89</v>
      </c>
      <c r="C59" s="207">
        <f>C11+C12+C28</f>
        <v>1666461</v>
      </c>
      <c r="D59" s="208">
        <f>IF(E59=0,0,E59/C59)</f>
        <v>1</v>
      </c>
      <c r="E59" s="209">
        <f>E11+E12+E28</f>
        <v>1666461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539945.54079999961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-7.7270619954391717E-2</v>
      </c>
      <c r="E63" s="445"/>
    </row>
    <row r="64" spans="2:9" ht="15" customHeight="1">
      <c r="B64" s="3" t="s">
        <v>250</v>
      </c>
      <c r="D64" s="442">
        <v>1.4E-2</v>
      </c>
      <c r="E64" s="443"/>
      <c r="F64" s="250" t="s">
        <v>236</v>
      </c>
    </row>
    <row r="65" spans="2:5" ht="15" customHeight="1">
      <c r="B65" s="271" t="s">
        <v>252</v>
      </c>
      <c r="D65" s="442">
        <v>1.4E-2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336</v>
      </c>
      <c r="C4" s="273">
        <v>904</v>
      </c>
      <c r="D4" s="244">
        <f>C4/$C$7</f>
        <v>1.5465072714924309E-3</v>
      </c>
      <c r="E4" s="273">
        <v>0</v>
      </c>
      <c r="F4" s="244">
        <f>E4/E$7</f>
        <v>0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337</v>
      </c>
      <c r="C5" s="273">
        <v>549346</v>
      </c>
      <c r="D5" s="244">
        <f>C5/$C$7</f>
        <v>0.93978714996159396</v>
      </c>
      <c r="E5" s="273">
        <v>384542.19999999995</v>
      </c>
      <c r="F5" s="244">
        <f>E5/E$7</f>
        <v>0.94124278877868006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338</v>
      </c>
      <c r="C6" s="273">
        <v>34293</v>
      </c>
      <c r="D6" s="244">
        <f>C6/$C$7</f>
        <v>5.866634276691364E-2</v>
      </c>
      <c r="E6" s="273">
        <v>24005.1</v>
      </c>
      <c r="F6" s="244">
        <f>E6/E$7</f>
        <v>5.8757211221320035E-2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584543</v>
      </c>
      <c r="D7" s="243"/>
      <c r="E7" s="313">
        <f>SUM(E4:E6)</f>
        <v>408547.29999999993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-0.30108255509004478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500512</v>
      </c>
      <c r="D9" s="246"/>
      <c r="E9" s="221">
        <f>E7*(1-E10)</f>
        <v>349816.56818677147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0.14375503598537662</v>
      </c>
      <c r="D10" s="183"/>
      <c r="E10" s="72">
        <f>C10</f>
        <v>0.14375503598537662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6.8831548748338439E-2</v>
      </c>
      <c r="D12" s="186"/>
      <c r="E12" s="220">
        <f>E13/E7</f>
        <v>9.8483088739051775E-2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Data!C11</f>
        <v>40235</v>
      </c>
      <c r="D13" s="247"/>
      <c r="E13" s="75">
        <f>C13</f>
        <v>40235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-0.57768445033271398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43796</v>
      </c>
      <c r="D16" s="296"/>
      <c r="E16" s="295">
        <f>E11-E13</f>
        <v>18495.731813228456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6.5626798158685509E-2</v>
      </c>
      <c r="D18" s="302"/>
      <c r="E18" s="301">
        <f>E19/E9</f>
        <v>3.9654493587379241E-2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32847</v>
      </c>
      <c r="D19" s="298"/>
      <c r="E19" s="299">
        <f>IF(E16="","",IF(E16&lt;=0,E16,E16*(1-E17)))</f>
        <v>13871.798859921342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27" sqref="C2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32847</v>
      </c>
      <c r="D4" s="45">
        <f>Operation!E19</f>
        <v>13871.798859921342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-0.57768445033271409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0.05</v>
      </c>
      <c r="D6" s="220">
        <v>0.05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1642.3500000000001</v>
      </c>
      <c r="D7" s="286">
        <f>D4*D6</f>
        <v>693.58994299606718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31204.65</v>
      </c>
      <c r="D8" s="188">
        <f>D4-D7</f>
        <v>13178.208916925276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1.7082432201433771E-2</v>
      </c>
      <c r="D9" s="283">
        <f>D8/(Common_Shares/Data!$C$4)</f>
        <v>7.2141767448026493E-3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7.2141767448026493E-3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6.6797932822246749E-3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1666461</v>
      </c>
      <c r="D15" s="213">
        <f>C15/(Dashboard!I5/Data!C4)</f>
        <v>0.91227451834369311</v>
      </c>
      <c r="E15" s="84" t="s">
        <v>224</v>
      </c>
      <c r="G15" s="134">
        <f>C15+C16+C17+C18</f>
        <v>3482766.15</v>
      </c>
    </row>
    <row r="16" spans="1:10" ht="15.75" customHeight="1">
      <c r="B16" s="58" t="s">
        <v>230</v>
      </c>
      <c r="C16" s="83">
        <f>Asset_Model!E58</f>
        <v>1832919.15</v>
      </c>
      <c r="D16" s="213">
        <f>C16/(Dashboard!I5/Data!C4)</f>
        <v>1.0033990802840158</v>
      </c>
      <c r="E16" s="84" t="s">
        <v>306</v>
      </c>
      <c r="G16" s="194">
        <f>(G15+MIN(D4,0))*Data!C$4/Dashboard!I5</f>
        <v>1.9065785589911606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-9.0950396365484208E-3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0.91227451834369311</v>
      </c>
      <c r="G18" s="144">
        <f>SUM(D16:D18)</f>
        <v>0.99430404064746736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0.25</v>
      </c>
      <c r="D22" s="277">
        <v>4</v>
      </c>
      <c r="E22" s="202">
        <f ca="1">IF(G9&lt;0,G9,G9*D22/G11)</f>
        <v>2.4739975119350648E-2</v>
      </c>
      <c r="F22" s="342">
        <f ca="1">E22+$G$16</f>
        <v>1.9313185341105112</v>
      </c>
      <c r="G22" s="345">
        <f ca="1">ROUND(F22*Exchange_Rate,2)</f>
        <v>1.93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4.9479950238701297E-2</v>
      </c>
      <c r="F23" s="343">
        <f ca="1">E23+$G$16</f>
        <v>1.9560585092298619</v>
      </c>
      <c r="G23" s="348">
        <f ca="1">ROUND(F23*Exchange_Rate,2)</f>
        <v>1.96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1.9456852040816326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1.973811082503208</v>
      </c>
      <c r="D27" s="117" t="str">
        <f>Dashboard!J4</f>
        <v>HKD</v>
      </c>
      <c r="E27" s="118">
        <f ca="1">(C27-G16)/C9</f>
        <v>3.9357699605799961</v>
      </c>
      <c r="F27" s="155">
        <f ca="1">C27/(Data!C28*Exchange_Rate*Data!C4/Common_Shares)</f>
        <v>0.80227432610358651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Asset_Model!I3*Exchange_Rate*Data!C4/Common_Shares*1.45</f>
        <v>3.5673908244449022</v>
      </c>
      <c r="D30" s="334" t="str">
        <f>D27</f>
        <v>HKD</v>
      </c>
      <c r="E30" s="118">
        <f>(C30-G16)/C9</f>
        <v>97.223407408831719</v>
      </c>
      <c r="F30" s="155">
        <f>C30/(Asset_Model!I3*Exchange_Rate*Data!C4/Common_Shares)</f>
        <v>1.45</v>
      </c>
      <c r="I30" s="73" t="s">
        <v>339</v>
      </c>
    </row>
    <row r="31" spans="2:9" ht="15.75" customHeight="1">
      <c r="B31" s="352" t="s">
        <v>307</v>
      </c>
      <c r="C31" s="350">
        <f ca="1">MIN(C30,C27)+ABS(C30-C27)*'Qualitative Analysis'!E64</f>
        <v>2.8069985315935737</v>
      </c>
      <c r="D31" s="334" t="str">
        <f>D30</f>
        <v>HKD</v>
      </c>
      <c r="E31" s="118">
        <f ca="1">(C31-G16)/C9</f>
        <v>52.7102910162195</v>
      </c>
      <c r="F31" s="155">
        <f ca="1">C31/(Asset_Model!I3*Exchange_Rate*Data!C4/Common_Shares)</f>
        <v>1.1409313055695294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1.5917055112922753</v>
      </c>
      <c r="D32" s="334" t="str">
        <f>D30</f>
        <v>HKD</v>
      </c>
      <c r="E32" s="118">
        <f ca="1">(C32-G16)/C9</f>
        <v>-18.432565338819678</v>
      </c>
      <c r="F32" s="155">
        <f ca="1">C32/(Asset_Model!I3*Exchange_Rate*Data!C4/Common_Shares)</f>
        <v>0.64696387498639918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2" sqref="E62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2.8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0</v>
      </c>
      <c r="E12" s="31" t="s">
        <v>170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2</v>
      </c>
      <c r="E16" s="31" t="s">
        <v>147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0.75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3</v>
      </c>
      <c r="E43" s="31" t="s">
        <v>148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3</v>
      </c>
      <c r="E47" s="31" t="s">
        <v>148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0.39319727891156464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2</v>
      </c>
      <c r="E53" s="31" t="s">
        <v>147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3.8639455782312924</v>
      </c>
      <c r="E54" s="31" t="s">
        <v>189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340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0.54136054421768709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2.0913605442176868</v>
      </c>
      <c r="E64" s="123">
        <f>AVERAGE(AVERAGE(D12:D16)/4,AVERAGE(D18:D22)/4,AVERAGE(D24:D28)/4,D62)</f>
        <v>0.5228401360544217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2023-07-06T07:02:01Z</dcterms:modified>
  <cp:category/>
  <cp:contentStatus/>
</cp:coreProperties>
</file>