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9C41B1FB-7701-4491-A386-EA7B1CC4FB2E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6" i="4" l="1"/>
  <c r="C7" i="4" s="1"/>
  <c r="C30" i="4"/>
  <c r="C10" i="7"/>
  <c r="C14" i="7"/>
  <c r="E7" i="7"/>
  <c r="E6" i="7"/>
  <c r="E5" i="7"/>
  <c r="E4" i="7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36" i="5" l="1"/>
  <c r="E36" i="5" s="1"/>
  <c r="D6" i="5"/>
  <c r="E6" i="5" s="1"/>
  <c r="D5" i="7"/>
  <c r="D6" i="7"/>
  <c r="D4" i="7"/>
  <c r="D7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1" i="7"/>
  <c r="E11" i="7" s="1"/>
  <c r="E10" i="7" s="1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4" i="7" l="1"/>
  <c r="F6" i="7"/>
  <c r="F5" i="7"/>
  <c r="F7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9" i="7"/>
  <c r="E12" i="7"/>
  <c r="E17" i="7" s="1"/>
  <c r="G16" i="7" s="1"/>
  <c r="C20" i="7"/>
  <c r="C4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5" i="7"/>
  <c r="E18" i="7"/>
  <c r="E16" i="7"/>
  <c r="C19" i="7"/>
  <c r="C8" i="4"/>
  <c r="C9" i="4" s="1"/>
  <c r="J10" i="1"/>
  <c r="I25" i="3"/>
  <c r="J25" i="3" s="1"/>
  <c r="D25" i="3"/>
  <c r="D45" i="3"/>
  <c r="E20" i="7" l="1"/>
  <c r="E19" i="7" s="1"/>
  <c r="G18" i="7"/>
  <c r="G20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8" i="4" l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s="1"/>
  <c r="C27" i="4" s="1"/>
  <c r="C32" i="4" s="1"/>
  <c r="C31" i="4" l="1"/>
  <c r="I35" i="1" s="1"/>
  <c r="E14" i="1"/>
  <c r="E27" i="4"/>
  <c r="F27" i="4"/>
  <c r="D16" i="1" l="1"/>
  <c r="D18" i="1"/>
  <c r="E45" i="1"/>
  <c r="E50" i="1" s="1"/>
  <c r="E31" i="4"/>
  <c r="F31" i="4"/>
  <c r="F45" i="1"/>
  <c r="F48" i="1" s="1"/>
  <c r="F32" i="4"/>
  <c r="E32" i="4"/>
  <c r="I36" i="1"/>
  <c r="B17" i="1" s="1"/>
  <c r="J17" i="1" l="1"/>
  <c r="D17" i="1"/>
  <c r="H17" i="1"/>
  <c r="F46" i="1"/>
  <c r="F49" i="1" s="1"/>
  <c r="E46" i="1"/>
  <c r="E49" i="1" s="1"/>
  <c r="E48" i="1"/>
  <c r="F50" i="1"/>
  <c r="E51" i="1" l="1"/>
  <c r="F51" i="1"/>
</calcChain>
</file>

<file path=xl/sharedStrings.xml><?xml version="1.0" encoding="utf-8"?>
<sst xmlns="http://schemas.openxmlformats.org/spreadsheetml/2006/main" count="411" uniqueCount="342">
  <si>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</si>
  <si>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</si>
  <si>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</si>
  <si>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</si>
  <si>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</si>
  <si>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</si>
  <si>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</si>
  <si>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</si>
  <si>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</si>
  <si>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</si>
  <si>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</si>
  <si>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</si>
  <si>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</si>
  <si>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</si>
  <si>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</si>
  <si>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</si>
  <si>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</si>
  <si>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</si>
  <si>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</si>
  <si>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</si>
  <si>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</si>
  <si>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</si>
  <si>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</si>
  <si>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</si>
  <si>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</si>
  <si>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</si>
  <si>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</si>
  <si>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</si>
  <si>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</si>
  <si>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</si>
  <si>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</si>
  <si>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</si>
  <si>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</si>
  <si>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</si>
  <si>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</si>
  <si>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</si>
  <si>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</si>
  <si>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</si>
  <si>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</si>
  <si>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</si>
  <si>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</si>
  <si>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</si>
  <si>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</si>
  <si>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</si>
  <si>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</si>
  <si>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</si>
  <si>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</si>
  <si>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</si>
  <si>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</si>
  <si>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</si>
  <si>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</si>
  <si>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</si>
  <si>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</si>
  <si>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</si>
  <si>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</si>
  <si>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</si>
  <si>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</si>
  <si>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</si>
  <si>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</si>
  <si>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</si>
  <si>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</si>
  <si>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</si>
  <si>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</si>
  <si>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</si>
  <si>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</si>
  <si>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</si>
  <si>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</si>
  <si>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</si>
  <si>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</si>
  <si>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</si>
  <si>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</si>
  <si>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</si>
  <si>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</si>
  <si>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</si>
  <si>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</si>
  <si>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</si>
  <si>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</si>
  <si>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</si>
  <si>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</si>
  <si>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</si>
  <si>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</si>
  <si>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</si>
  <si>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</si>
  <si>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</si>
  <si>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</si>
  <si>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</si>
  <si>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</si>
  <si>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</si>
  <si>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</si>
  <si>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</si>
  <si>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</si>
  <si>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</si>
  <si>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</si>
  <si>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</si>
  <si>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</si>
  <si>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</si>
  <si>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</si>
  <si>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</si>
  <si>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</si>
  <si>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</si>
  <si>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</si>
  <si>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</si>
  <si>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</si>
  <si>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</si>
  <si>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</si>
  <si>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</si>
  <si>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</si>
  <si>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</si>
  <si>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</si>
  <si>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</si>
  <si>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</si>
  <si>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</si>
  <si>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</si>
  <si>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</si>
  <si>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</si>
  <si>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</si>
  <si>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</si>
  <si>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</si>
  <si>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</si>
  <si>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</si>
  <si>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</si>
  <si>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</si>
  <si>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</si>
  <si>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</si>
  <si>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</si>
  <si>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</si>
  <si>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</si>
  <si>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</si>
  <si>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</si>
  <si>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</si>
  <si>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</si>
  <si>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</si>
  <si>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</si>
  <si>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</si>
  <si>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</si>
  <si>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</si>
  <si>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</si>
  <si>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</si>
  <si>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</si>
  <si>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</si>
  <si>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</si>
  <si>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</si>
  <si>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</si>
  <si>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</si>
  <si>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</si>
  <si>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</si>
  <si>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</si>
  <si>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</si>
  <si>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</si>
  <si>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</si>
  <si>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</si>
  <si>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</si>
  <si>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</si>
  <si>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</si>
  <si>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</si>
  <si>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</si>
  <si>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</si>
  <si>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</si>
  <si>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</si>
  <si>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</si>
  <si>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</si>
  <si>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</si>
  <si>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</si>
  <si>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</si>
  <si>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</si>
  <si>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</si>
  <si>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</si>
  <si>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</si>
  <si>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</si>
  <si>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</si>
  <si>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</si>
  <si>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</si>
  <si>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</si>
  <si>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</si>
  <si>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</si>
  <si>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</si>
  <si>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</si>
  <si>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</si>
  <si>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</si>
  <si>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</si>
  <si>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</si>
  <si>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</si>
  <si>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</si>
  <si>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</si>
  <si>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</si>
  <si>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</si>
  <si>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</si>
  <si>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</si>
  <si>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</si>
  <si>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</si>
  <si>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</si>
  <si>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</si>
  <si>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</si>
  <si>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</si>
  <si>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</si>
  <si>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</si>
  <si>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</si>
  <si>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</si>
  <si>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</si>
  <si>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</si>
  <si>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</si>
  <si>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</si>
  <si>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</si>
  <si>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</si>
  <si>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</si>
  <si>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</si>
  <si>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</si>
  <si>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</si>
  <si>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</si>
  <si>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</si>
  <si>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</si>
  <si>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</si>
  <si>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</si>
  <si>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</si>
  <si>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</si>
  <si>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</si>
  <si>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</si>
  <si>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</si>
  <si>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</si>
  <si>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</si>
  <si>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</si>
  <si>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</si>
  <si>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</si>
  <si>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</si>
  <si>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</si>
  <si>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</si>
  <si>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</si>
  <si>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</si>
  <si>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</si>
  <si>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</si>
  <si>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</si>
  <si>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</si>
  <si>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</si>
  <si>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</si>
  <si>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</si>
  <si>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</si>
  <si>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</si>
  <si>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</si>
  <si>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</si>
  <si>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</si>
  <si>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</si>
  <si>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</si>
  <si>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</si>
  <si>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</si>
  <si>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</si>
  <si>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</si>
  <si>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</si>
  <si>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</si>
  <si>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</si>
  <si>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</si>
  <si>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</si>
  <si>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</si>
  <si>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</si>
  <si>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</si>
  <si>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</si>
  <si>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</si>
  <si>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</si>
  <si>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</si>
  <si>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</si>
  <si>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</si>
  <si>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</si>
  <si>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</si>
  <si>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</si>
  <si>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</si>
  <si>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</si>
  <si>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</si>
  <si>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</si>
  <si>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</si>
  <si>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</si>
  <si>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</si>
  <si>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</si>
  <si>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</si>
  <si>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</si>
  <si>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</si>
  <si>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</si>
  <si>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</si>
  <si>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</si>
  <si>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</si>
  <si>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</si>
  <si>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</si>
  <si>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</si>
  <si>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</si>
  <si>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</si>
  <si>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</si>
  <si>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</si>
  <si>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</si>
  <si>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</si>
  <si>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</si>
  <si>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</si>
  <si>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</si>
  <si>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</si>
  <si>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</si>
  <si>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</si>
  <si>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</si>
  <si>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</si>
  <si>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</si>
  <si>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</si>
  <si>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</si>
  <si>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</si>
  <si>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</si>
  <si>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</si>
  <si>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</si>
  <si>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</si>
  <si>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</si>
  <si>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</si>
  <si>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</si>
  <si>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</si>
  <si>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</si>
  <si>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</si>
  <si>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</si>
  <si>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</si>
  <si>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</si>
  <si>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</si>
  <si>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</si>
  <si>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</si>
  <si>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</si>
  <si>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</si>
  <si>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</si>
  <si>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</si>
  <si>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</si>
  <si>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</si>
  <si>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</si>
  <si>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</si>
  <si>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</si>
  <si>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6601.HK</t>
  </si>
  <si>
    <t>CHEERWIN GP</t>
  </si>
  <si>
    <t>CNY</t>
  </si>
  <si>
    <t>FY</t>
  </si>
  <si>
    <t>CN</t>
  </si>
  <si>
    <t>家居清潔产品生产商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</si>
  <si>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</si>
  <si>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</si>
  <si>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</si>
  <si>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</si>
  <si>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家居護理</t>
  </si>
  <si>
    <t>個人護理</t>
  </si>
  <si>
    <t>寵物產品</t>
  </si>
  <si>
    <t>其他</t>
  </si>
  <si>
    <t>Consumer Discretionary, 12.4y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</si>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</sst>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25" zoomScaleNormal="100" workbookViewId="0">
      <selection activeCell="E51" sqref="E51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2" t="s">
        <v>324</v>
      </c>
      <c r="D3" s="373"/>
      <c r="E3" s="15"/>
      <c r="G3" s="7" t="s">
        <v>2</v>
      </c>
      <c r="I3" s="384" t="s">
        <v>3</v>
      </c>
      <c r="J3" s="385"/>
    </row>
    <row r="4" spans="1:12" ht="15.75" customHeight="1">
      <c r="B4" s="5" t="s">
        <v>4</v>
      </c>
      <c r="C4" s="374" t="s">
        <v>325</v>
      </c>
      <c r="D4" s="375"/>
      <c r="E4" s="6"/>
      <c r="G4" s="5" t="s">
        <v>5</v>
      </c>
      <c r="I4" s="32">
        <v>1.63</v>
      </c>
      <c r="J4" s="33" t="s">
        <v>6</v>
      </c>
      <c r="K4" s="149"/>
    </row>
    <row r="5" spans="1:12" ht="15.75" customHeight="1">
      <c r="B5" s="5" t="s">
        <v>7</v>
      </c>
      <c r="C5" s="376">
        <v>44931</v>
      </c>
      <c r="D5" s="375"/>
      <c r="E5" s="120" t="str">
        <f ca="1">IF(C5+30&gt;=TODAY(),"Patience Premium","")</f>
        <v/>
      </c>
      <c r="G5" s="5" t="s">
        <v>8</v>
      </c>
      <c r="I5" s="386">
        <v>1333330048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388">
        <f>I4*I5/1000000</f>
        <v>2173.32797824</v>
      </c>
      <c r="J6" s="389"/>
      <c r="K6" s="148"/>
    </row>
    <row r="7" spans="1:12" ht="15.75" customHeight="1">
      <c r="B7" s="136" t="s">
        <v>10</v>
      </c>
      <c r="C7" s="142">
        <f>(Data!C39*Exchange_Rate)/I4</f>
        <v>4.7855788153563283E-2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31.033618376118767</v>
      </c>
      <c r="J9" s="48">
        <f>IF(I9="NNI","NNI",1/I9)</f>
        <v>3.2223119711026926E-2</v>
      </c>
    </row>
    <row r="10" spans="1:12" ht="15.75" customHeight="1">
      <c r="B10" s="3" t="s">
        <v>255</v>
      </c>
      <c r="C10" s="279" t="s">
        <v>328</v>
      </c>
      <c r="D10" s="279">
        <v>2.8999999999999998E-2</v>
      </c>
      <c r="E10" s="5"/>
      <c r="G10" s="5" t="s">
        <v>14</v>
      </c>
      <c r="I10" s="135">
        <f>I4/(Data!C28*I12*Data!C4/Common_Shares)</f>
        <v>0.71240069845631671</v>
      </c>
      <c r="J10" s="127" t="str">
        <f>IF(Asset_Model!D60/'FCFF Model'!C4&lt;0,"Negative EV",Asset_Model!D60/'FCFF Model'!C4)</f>
        <v>Negative EV</v>
      </c>
    </row>
    <row r="11" spans="1:12" ht="15.75" customHeight="1" thickBot="1">
      <c r="B11" s="288" t="s">
        <v>256</v>
      </c>
      <c r="C11" s="403">
        <f ca="1">C12-D10</f>
        <v>5.1000000000000004E-2</v>
      </c>
      <c r="D11" s="404"/>
      <c r="E11" s="13"/>
      <c r="G11" s="5" t="s">
        <v>15</v>
      </c>
      <c r="H11" s="6"/>
      <c r="I11" s="401" t="s">
        <v>326</v>
      </c>
      <c r="J11" s="402"/>
    </row>
    <row r="12" spans="1:12" ht="15.75" customHeight="1" thickTop="1">
      <c r="B12" s="289" t="s">
        <v>143</v>
      </c>
      <c r="C12" s="399">
        <f ca="1">IF(C10="CN",8%,6%)*IF($C$5+30&gt;=TODAY(),1.2,1)</f>
        <v>0.08</v>
      </c>
      <c r="D12" s="400"/>
      <c r="G12" s="131" t="s">
        <v>16</v>
      </c>
      <c r="H12" s="130"/>
      <c r="I12" s="132">
        <v>1.0819003184636433</v>
      </c>
      <c r="J12" s="133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>'FCFF Model'!C27</f>
        <v>1.6929092416372915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1.63</v>
      </c>
      <c r="C16" s="420">
        <v>0.25</v>
      </c>
      <c r="D16" s="156">
        <f>I35/B16-(1+J25)</f>
        <v>-6.3762678245242732E-2</v>
      </c>
      <c r="E16" s="393" t="s">
        <v>23</v>
      </c>
      <c r="F16" s="390">
        <f>('FCFF Model'!G16)*Exchange_Rate</f>
        <v>1.8892028015950266</v>
      </c>
      <c r="G16" s="393" t="s">
        <v>24</v>
      </c>
      <c r="H16" s="355">
        <f>B16-$F$16</f>
        <v>-0.25920280159502673</v>
      </c>
      <c r="I16" s="411">
        <v>2.5100000000000001E-2</v>
      </c>
      <c r="J16" s="158">
        <f>I16/B16</f>
        <v>1.539877300613497E-2</v>
      </c>
    </row>
    <row r="17" spans="1:10" ht="15.75" customHeight="1">
      <c r="B17" s="269">
        <f>(I35+I36)/2</f>
        <v>1.6031971138850438</v>
      </c>
      <c r="C17" s="421"/>
      <c r="D17" s="268">
        <f>I35/B17-(1+J25)</f>
        <v>-4.4766611404307044E-2</v>
      </c>
      <c r="E17" s="394"/>
      <c r="F17" s="391"/>
      <c r="G17" s="394"/>
      <c r="H17" s="356">
        <f>B17-$F$16</f>
        <v>-0.2860056877099828</v>
      </c>
      <c r="I17" s="412"/>
      <c r="J17" s="159">
        <f>I16/B17</f>
        <v>1.5656215809405318E-2</v>
      </c>
    </row>
    <row r="18" spans="1:10" ht="15.75" customHeight="1">
      <c r="B18" s="323">
        <f>C35</f>
        <v>1.37</v>
      </c>
      <c r="C18" s="422"/>
      <c r="D18" s="157">
        <f>I35/B18-(1+J25)</f>
        <v>0.151873601795806</v>
      </c>
      <c r="E18" s="395"/>
      <c r="F18" s="392"/>
      <c r="G18" s="395"/>
      <c r="H18" s="357">
        <f>B18-$F$16</f>
        <v>-0.51920280159502652</v>
      </c>
      <c r="I18" s="413"/>
      <c r="J18" s="160">
        <f>I16/B18</f>
        <v>1.8321167883211677E-2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79" t="s">
        <v>329</v>
      </c>
      <c r="D21" s="380"/>
      <c r="E21" s="380"/>
      <c r="F21" s="380"/>
      <c r="G21" s="380"/>
      <c r="H21" s="380"/>
      <c r="I21" s="380"/>
      <c r="J21" s="381"/>
    </row>
    <row r="22" spans="1:10" ht="52.5" customHeight="1">
      <c r="A22" s="6"/>
      <c r="B22" s="24" t="s">
        <v>27</v>
      </c>
      <c r="C22" s="397" t="s">
        <v>330</v>
      </c>
      <c r="D22" s="398"/>
      <c r="E22" s="398"/>
      <c r="F22" s="398"/>
      <c r="G22" s="397" t="s">
        <v>331</v>
      </c>
      <c r="H22" s="397"/>
      <c r="I22" s="398"/>
      <c r="J22" s="398"/>
    </row>
    <row r="23" spans="1:10" ht="52.5" customHeight="1">
      <c r="A23" s="6"/>
      <c r="B23" s="25" t="s">
        <v>28</v>
      </c>
      <c r="C23" s="382" t="s">
        <v>332</v>
      </c>
      <c r="D23" s="383"/>
      <c r="E23" s="383"/>
      <c r="F23" s="383"/>
      <c r="G23" s="382" t="s">
        <v>333</v>
      </c>
      <c r="H23" s="382"/>
      <c r="I23" s="383"/>
      <c r="J23" s="383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341</v>
      </c>
      <c r="I25" s="30"/>
      <c r="J25" s="359">
        <v>0.2</v>
      </c>
    </row>
    <row r="26" spans="1:10" ht="15.75" customHeight="1">
      <c r="B26" s="23" t="s">
        <v>31</v>
      </c>
      <c r="C26" s="377">
        <v>44932</v>
      </c>
      <c r="D26" s="378"/>
      <c r="E26" s="417" t="str">
        <f>IF(C26="","","Action_Planning")</f>
        <v>Action_Planning</v>
      </c>
      <c r="F26" s="418"/>
      <c r="G26" s="418"/>
      <c r="H26" s="419"/>
      <c r="I26" s="396" t="s">
        <v>32</v>
      </c>
      <c r="J26" s="396"/>
    </row>
    <row r="27" spans="1:10" ht="15.75" customHeight="1">
      <c r="B27" s="23" t="s">
        <v>33</v>
      </c>
      <c r="C27" s="410">
        <f>C31/D25</f>
        <v>0.15509090909090908</v>
      </c>
      <c r="D27" s="409"/>
      <c r="E27" s="408">
        <f>E31/D25</f>
        <v>0.12454545454545454</v>
      </c>
      <c r="F27" s="409"/>
      <c r="G27" s="415">
        <f>G31/D25</f>
        <v>0</v>
      </c>
      <c r="H27" s="416"/>
      <c r="I27" s="414">
        <f>C27+E27+G27</f>
        <v>0.27963636363636363</v>
      </c>
      <c r="J27" s="414"/>
    </row>
    <row r="28" spans="1:10" ht="15.75" customHeight="1">
      <c r="B28" s="23" t="s">
        <v>34</v>
      </c>
      <c r="C28" s="436">
        <v>60000</v>
      </c>
      <c r="D28" s="398"/>
      <c r="E28" s="436">
        <v>60000</v>
      </c>
      <c r="F28" s="398"/>
      <c r="G28" s="386"/>
      <c r="H28" s="387"/>
      <c r="I28" s="426">
        <f>C28+E28+G28</f>
        <v>120000</v>
      </c>
      <c r="J28" s="426"/>
    </row>
    <row r="29" spans="1:10" ht="15.75" customHeight="1">
      <c r="B29" s="23" t="s">
        <v>35</v>
      </c>
      <c r="C29" s="437">
        <v>1.706</v>
      </c>
      <c r="D29" s="398"/>
      <c r="E29" s="437">
        <v>1.37</v>
      </c>
      <c r="F29" s="398"/>
      <c r="G29" s="406"/>
      <c r="H29" s="407"/>
      <c r="I29" s="405"/>
      <c r="J29" s="405"/>
    </row>
    <row r="30" spans="1:10" ht="15.75" customHeight="1">
      <c r="B30" s="23" t="s">
        <v>36</v>
      </c>
      <c r="C30" s="424">
        <f>C29*$I$5/1000000</f>
        <v>2274.6610618879999</v>
      </c>
      <c r="D30" s="432"/>
      <c r="E30" s="424">
        <f>E29*$I$5/1000000</f>
        <v>1826.6621657600003</v>
      </c>
      <c r="F30" s="432"/>
      <c r="G30" s="368">
        <f>G29*$I$5/1000000</f>
        <v>0</v>
      </c>
      <c r="H30" s="369"/>
      <c r="I30" s="423"/>
      <c r="J30" s="423"/>
    </row>
    <row r="31" spans="1:10" ht="15.75" customHeight="1">
      <c r="B31" s="2" t="s">
        <v>37</v>
      </c>
      <c r="C31" s="433">
        <f>C28*C29</f>
        <v>102360</v>
      </c>
      <c r="D31" s="434"/>
      <c r="E31" s="425">
        <f>E28*E29</f>
        <v>82200</v>
      </c>
      <c r="F31" s="435"/>
      <c r="G31" s="370">
        <f>G28*G29</f>
        <v>0</v>
      </c>
      <c r="H31" s="371"/>
      <c r="I31" s="425">
        <f>C31+E31+G31</f>
        <v>184560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1.538</v>
      </c>
      <c r="F32" s="409"/>
      <c r="G32" s="115"/>
      <c r="H32" s="115"/>
      <c r="I32" s="427">
        <f>IF(I31=0,"",I31/I28)</f>
        <v>1.538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2050.6616138240001</v>
      </c>
      <c r="F33" s="432"/>
      <c r="G33" s="116"/>
      <c r="H33" s="116"/>
      <c r="I33" s="424">
        <f>IF(I32="","",I32*$I$5/1000000)</f>
        <v>2050.6616138240001</v>
      </c>
      <c r="J33" s="424"/>
    </row>
    <row r="34" spans="2:11" ht="15.75" customHeight="1"/>
    <row r="35" spans="2:11" ht="15.75" customHeight="1">
      <c r="B35" s="143" t="s">
        <v>286</v>
      </c>
      <c r="C35" s="364">
        <f>E29</f>
        <v>1.37</v>
      </c>
      <c r="D35" s="365"/>
      <c r="G35" s="366" t="s">
        <v>317</v>
      </c>
      <c r="H35" s="367"/>
      <c r="I35" s="362">
        <f>'FCFF Model'!C31</f>
        <v>1.8520668344602542</v>
      </c>
      <c r="J35" s="363"/>
    </row>
    <row r="36" spans="2:11" ht="15.75" customHeight="1">
      <c r="B36" s="143" t="s">
        <v>318</v>
      </c>
      <c r="C36" s="364">
        <f>E32</f>
        <v>1.538</v>
      </c>
      <c r="D36" s="365"/>
      <c r="G36" s="361" t="s">
        <v>315</v>
      </c>
      <c r="H36" s="361"/>
      <c r="I36" s="362">
        <f>'FCFF Model'!C32</f>
        <v>1.3543273933098332</v>
      </c>
      <c r="J36" s="36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0.44088435374149659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>I35/C29-1</f>
        <v>8.5619480926292013E-2</v>
      </c>
      <c r="F45" s="332">
        <f>I35/C36-1</f>
        <v>0.20420470381030831</v>
      </c>
    </row>
    <row r="46" spans="2:11" ht="15.75" customHeight="1">
      <c r="B46" s="3" t="s">
        <v>300</v>
      </c>
      <c r="E46" s="329">
        <f>I36/C29-1</f>
        <v>-0.20613869090865578</v>
      </c>
      <c r="F46" s="332">
        <f>I36/C36-1</f>
        <v>-0.11942302125498494</v>
      </c>
    </row>
    <row r="47" spans="2:11" ht="15.75" customHeight="1"/>
    <row r="48" spans="2:11" ht="15.75" customHeight="1">
      <c r="B48" s="3" t="s">
        <v>302</v>
      </c>
      <c r="E48" s="353">
        <f>IF(E45&lt;=0,0,AVERAGE(F39:F41,1-F42,E45/J25))</f>
        <v>0.5617963516745913</v>
      </c>
      <c r="F48" s="329">
        <f>IF(F45&lt;=0,0,AVERAGE(F39:F41,1-F42,F45/J25))</f>
        <v>0.6803815745586077</v>
      </c>
      <c r="G48" s="73"/>
    </row>
    <row r="49" spans="2:9" ht="15.75" customHeight="1">
      <c r="B49" s="3" t="s">
        <v>301</v>
      </c>
      <c r="D49" s="326"/>
      <c r="E49" s="328">
        <f>IF(E46&gt;=0,100,E45/ABS(E46))</f>
        <v>0.41534891169087584</v>
      </c>
      <c r="F49" s="328">
        <f>IF(F46&gt;=0,100,F45/ABS(F46))</f>
        <v>1.7099274634352331</v>
      </c>
      <c r="G49" s="73"/>
    </row>
    <row r="50" spans="2:9" ht="15.75" customHeight="1">
      <c r="B50" s="3" t="s">
        <v>340</v>
      </c>
      <c r="E50" s="358">
        <f>MAX(J25*2/E45,1)</f>
        <v>4.6718339760124392</v>
      </c>
      <c r="F50" s="358">
        <f>MAX(J25*2/F45,1)</f>
        <v>1.9588187369649019</v>
      </c>
      <c r="G50" s="330"/>
      <c r="H50" s="84"/>
      <c r="I50" s="84"/>
    </row>
    <row r="51" spans="2:9" ht="15.75" customHeight="1">
      <c r="B51" s="3" t="s">
        <v>339</v>
      </c>
      <c r="E51" s="327">
        <f>MIN(MAX(E48-ABS((1-E48)/E49),0)/E50,H51)</f>
        <v>0</v>
      </c>
      <c r="F51" s="327">
        <f>MIN(MAX(F48-ABS((1-F48)/F49),0)/F50,H51)</f>
        <v>0.25191829973939867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64730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58777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1442194</v>
      </c>
      <c r="D7" s="35">
        <v>1769157</v>
      </c>
      <c r="E7" s="35">
        <v>1702154</v>
      </c>
      <c r="F7" s="35">
        <v>1383402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-0.18481287980659711</v>
      </c>
      <c r="D8" s="14">
        <f t="shared" si="1"/>
        <v>3.9363653347464389E-2</v>
      </c>
      <c r="E8" s="14">
        <f t="shared" si="1"/>
        <v>0.2304116952266948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842386</v>
      </c>
      <c r="D9" s="35">
        <v>981731</v>
      </c>
      <c r="E9" s="35">
        <v>959572</v>
      </c>
      <c r="F9" s="35">
        <v>783542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0.41589966398417966</v>
      </c>
      <c r="D10" s="14">
        <f t="shared" si="2"/>
        <v>0.44508542769239812</v>
      </c>
      <c r="E10" s="14">
        <f t="shared" si="2"/>
        <v>0.43626017387380928</v>
      </c>
      <c r="F10" s="14">
        <f t="shared" si="2"/>
        <v>0.43361221105651143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541031</v>
      </c>
      <c r="D11" s="35">
        <v>715420</v>
      </c>
      <c r="E11" s="35">
        <v>466870</v>
      </c>
      <c r="F11" s="35">
        <v>375859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0.37514439804908356</v>
      </c>
      <c r="D12" s="14">
        <f t="shared" si="3"/>
        <v>0.40438468717021719</v>
      </c>
      <c r="E12" s="14">
        <f t="shared" si="3"/>
        <v>0.27428188048789942</v>
      </c>
      <c r="F12" s="14">
        <f t="shared" si="3"/>
        <v>0.27169181481593929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4.0755265935096111E-2</v>
      </c>
      <c r="D13" s="14">
        <f t="shared" si="4"/>
        <v>4.0700740522180902E-2</v>
      </c>
      <c r="E13" s="14">
        <f t="shared" si="4"/>
        <v>0.16197829338590986</v>
      </c>
      <c r="F13" s="14">
        <f t="shared" si="4"/>
        <v>0.16192039624057217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58777</v>
      </c>
      <c r="D14" s="27">
        <f t="shared" si="5"/>
        <v>72006</v>
      </c>
      <c r="E14" s="27">
        <f t="shared" si="5"/>
        <v>275712</v>
      </c>
      <c r="F14" s="27">
        <f t="shared" si="5"/>
        <v>224001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-0.18372080104435742</v>
      </c>
      <c r="D15" s="14">
        <f t="shared" ref="D15:M15" si="6">IF(E14="","",IF(ABS(D14+E14)=ABS(D14)+ABS(E14),IF(D14&lt;0,-1,1)*(D14-E14)/E14,"Turn"))</f>
        <v>-0.73883617688022285</v>
      </c>
      <c r="E15" s="14">
        <f t="shared" si="6"/>
        <v>0.23085164798371435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58777</v>
      </c>
      <c r="D16" s="140">
        <f>IF(D14="","",D14*(1-Operation!$D$18))</f>
        <v>72006</v>
      </c>
      <c r="E16" s="140">
        <f>IF(E14="","",E14*(1-Operation!$D$18))</f>
        <v>275712</v>
      </c>
      <c r="F16" s="140">
        <f>IF(F14="","",F14*(1-Operation!$D$18))</f>
        <v>224001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4.0755265935096111E-2</v>
      </c>
      <c r="D17" s="126">
        <f t="shared" si="7"/>
        <v>4.0700740522180902E-2</v>
      </c>
      <c r="E17" s="126">
        <f t="shared" si="7"/>
        <v>0.16197829338590986</v>
      </c>
      <c r="F17" s="126">
        <f t="shared" si="7"/>
        <v>0.16192039624057217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863</v>
      </c>
      <c r="D18" s="141">
        <v>1613</v>
      </c>
      <c r="E18" s="141">
        <v>2645</v>
      </c>
      <c r="F18" s="141">
        <v>299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64730</v>
      </c>
      <c r="D19" s="35">
        <v>92093</v>
      </c>
      <c r="E19" s="35">
        <v>223781</v>
      </c>
      <c r="F19" s="35">
        <v>185164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-0.29712355987968686</v>
      </c>
      <c r="D20" s="14">
        <f t="shared" ref="D20:M20" si="8">IF(E19="","",IF(ABS(D19+E19)=ABS(D19)+ABS(E19),IF(D19&lt;0,-1,1)*(D19-E19)/E19,"Turn"))</f>
        <v>-0.58846818988207217</v>
      </c>
      <c r="E20" s="14">
        <f t="shared" si="8"/>
        <v>0.20855565876736298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3155075</v>
      </c>
      <c r="D21" s="35">
        <v>3103683</v>
      </c>
      <c r="E21" s="35">
        <v>1398268</v>
      </c>
      <c r="F21" s="35">
        <v>1034632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734476</v>
      </c>
      <c r="D22" s="35">
        <v>677999</v>
      </c>
      <c r="E22" s="35">
        <v>1352795</v>
      </c>
      <c r="F22" s="35">
        <v>1205068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6202</v>
      </c>
      <c r="D23" s="35">
        <v>5517</v>
      </c>
      <c r="E23" s="35">
        <v>301783</v>
      </c>
      <c r="F23" s="35">
        <v>3225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6202</v>
      </c>
      <c r="D24" s="137">
        <v>5517</v>
      </c>
      <c r="E24" s="137">
        <v>1783</v>
      </c>
      <c r="F24" s="137">
        <v>3225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10412</v>
      </c>
      <c r="D25" s="35">
        <v>9392</v>
      </c>
      <c r="E25" s="35">
        <v>5096</v>
      </c>
      <c r="F25" s="35">
        <v>6880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10412</v>
      </c>
      <c r="D26" s="137">
        <v>9392</v>
      </c>
      <c r="E26" s="137">
        <v>5096</v>
      </c>
      <c r="F26" s="137">
        <v>6880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16614</v>
      </c>
      <c r="D27" s="27">
        <f t="shared" si="9"/>
        <v>14909</v>
      </c>
      <c r="E27" s="27">
        <f t="shared" si="9"/>
        <v>306879</v>
      </c>
      <c r="F27" s="27">
        <f t="shared" si="9"/>
        <v>10105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2819770</v>
      </c>
      <c r="D28" s="35">
        <v>2735259</v>
      </c>
      <c r="E28" s="35">
        <v>250534</v>
      </c>
      <c r="F28" s="35">
        <v>13930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2812473</v>
      </c>
      <c r="D29" s="137">
        <v>2733761</v>
      </c>
      <c r="E29" s="137">
        <v>247681</v>
      </c>
      <c r="F29" s="137">
        <v>13234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187570</v>
      </c>
      <c r="D30" s="35">
        <v>197933</v>
      </c>
      <c r="E30" s="35">
        <v>172844</v>
      </c>
      <c r="F30" s="35">
        <v>159191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1335766</v>
      </c>
      <c r="D31" s="35">
        <v>2558156</v>
      </c>
      <c r="E31" s="35">
        <v>884766</v>
      </c>
      <c r="F31" s="35">
        <v>511035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-5.5248707149330917E-2</v>
      </c>
      <c r="D32" s="14">
        <f t="shared" si="10"/>
        <v>0.12675501305997483</v>
      </c>
      <c r="E32" s="14">
        <f t="shared" si="10"/>
        <v>7.8990303394968875E-2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-27988.032799999997</v>
      </c>
      <c r="D33" s="236">
        <f>IF(E7="","",(D7-E7)*Asset_Model!$D$65)</f>
        <v>5735.4567999999999</v>
      </c>
      <c r="E33" s="236">
        <f>IF(F7="","",(E7-F7)*Asset_Model!$D$65)</f>
        <v>27285.171199999997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-38351.032800000001</v>
      </c>
      <c r="D34" s="140">
        <f>IF(E7="","",D30-E30+D33+IF($C$49="Yes",D51,0))</f>
        <v>30824.4568</v>
      </c>
      <c r="E34" s="140">
        <f t="shared" ref="E34:F34" si="11">IF(F7="","",E30-F30+E33+IF($C$49="Yes",E51,0))</f>
        <v>40938.171199999997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-0.65248367218469816</v>
      </c>
      <c r="D35" s="227">
        <f t="shared" si="19"/>
        <v>0.42808178207371606</v>
      </c>
      <c r="E35" s="227">
        <f t="shared" si="19"/>
        <v>0.14848164461467037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96133</v>
      </c>
      <c r="D37" s="162">
        <v>58667</v>
      </c>
      <c r="E37" s="162">
        <v>221311</v>
      </c>
      <c r="F37" s="162">
        <v>220950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7.209992765422174E-2</v>
      </c>
      <c r="D39" s="167">
        <f t="shared" si="20"/>
        <v>4.4000358416883142E-2</v>
      </c>
      <c r="E39" s="167">
        <f t="shared" si="20"/>
        <v>0.16598365898373574</v>
      </c>
      <c r="F39" s="167">
        <f t="shared" si="20"/>
        <v>0.16571290831660609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3.6924997428868312E-3</v>
      </c>
      <c r="D42" s="48">
        <f t="shared" ref="D42:M42" si="22">IF(D29="","",D25/D29)</f>
        <v>3.4355600215234617E-3</v>
      </c>
      <c r="E42" s="48">
        <f t="shared" si="22"/>
        <v>2.0574852330215075E-2</v>
      </c>
      <c r="F42" s="48">
        <f t="shared" si="22"/>
        <v>0.51987305425419372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5.9072567096644128E-3</v>
      </c>
      <c r="D43" s="14">
        <f t="shared" si="23"/>
        <v>5.4536588970286719E-3</v>
      </c>
      <c r="E43" s="14">
        <f t="shared" si="23"/>
        <v>1.2390090479285856</v>
      </c>
      <c r="F43" s="14">
        <f t="shared" si="23"/>
        <v>0.76356354843584706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3.5377994462501503</v>
      </c>
      <c r="D44" s="50">
        <f t="shared" si="24"/>
        <v>4.8297001810986648</v>
      </c>
      <c r="E44" s="50">
        <f t="shared" si="24"/>
        <v>0.89843879835374851</v>
      </c>
      <c r="F44" s="50">
        <f t="shared" si="24"/>
        <v>22.167342899554676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1.4682613947632577E-2</v>
      </c>
      <c r="D45" s="14">
        <f t="shared" si="25"/>
        <v>2.2400911035191512E-2</v>
      </c>
      <c r="E45" s="14">
        <f t="shared" si="25"/>
        <v>9.5933437790157849E-3</v>
      </c>
      <c r="F45" s="14">
        <f t="shared" si="25"/>
        <v>1.3348154695737966E-3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4.2956815471165841</v>
      </c>
      <c r="D46" s="51">
        <f t="shared" si="26"/>
        <v>4.5777102916081001</v>
      </c>
      <c r="E46" s="51">
        <f t="shared" si="26"/>
        <v>1.0336141100462377</v>
      </c>
      <c r="F46" s="51">
        <f t="shared" si="26"/>
        <v>0.85856731736300362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4" sqref="E1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2819770</v>
      </c>
      <c r="E3" s="153" t="str">
        <f>IF((C46-I46)=D3,"", "Error!")</f>
        <v/>
      </c>
      <c r="F3" s="6"/>
      <c r="G3" s="6"/>
      <c r="H3" s="258" t="s">
        <v>244</v>
      </c>
      <c r="I3" s="259">
        <v>2812473</v>
      </c>
      <c r="K3" s="73"/>
    </row>
    <row r="4" spans="1:11" ht="15" customHeight="1">
      <c r="B4" s="5" t="s">
        <v>217</v>
      </c>
      <c r="C4" s="6"/>
      <c r="D4" s="260">
        <f>D3-I3</f>
        <v>7297</v>
      </c>
      <c r="E4" s="147"/>
      <c r="F4" s="6"/>
      <c r="G4" s="6"/>
      <c r="H4" s="60" t="s">
        <v>80</v>
      </c>
      <c r="I4" s="89">
        <f>(I3*Dashboard!I12*Data!C4)/Dashboard!I5</f>
        <v>2.2821171989145772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1851707.2147338018</v>
      </c>
      <c r="E6" s="14">
        <f>1-D6/D3</f>
        <v>0.3433126763055846</v>
      </c>
      <c r="F6" s="6"/>
      <c r="G6" s="6"/>
      <c r="H6" s="3" t="s">
        <v>287</v>
      </c>
      <c r="I6" s="69">
        <f>C26/I26</f>
        <v>4.2956815471165841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1.5025256712146984</v>
      </c>
      <c r="E7" s="49" t="str">
        <f>Dashboard!J4</f>
        <v>HKD</v>
      </c>
      <c r="H7" s="3" t="s">
        <v>288</v>
      </c>
      <c r="I7" s="69">
        <f>C25/I26</f>
        <v>3.8517555372810004</v>
      </c>
      <c r="J7" s="6"/>
      <c r="K7" s="114"/>
    </row>
    <row r="8" spans="1:11" ht="15" customHeight="1">
      <c r="D8" s="6"/>
      <c r="H8" s="3" t="s">
        <v>289</v>
      </c>
      <c r="I8" s="69">
        <f>C24/I26</f>
        <v>3.2124752885050021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327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1455986</v>
      </c>
      <c r="D12" s="65">
        <v>0.95</v>
      </c>
      <c r="E12" s="27">
        <f t="shared" si="0"/>
        <v>1383186.7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98</v>
      </c>
      <c r="I15" s="152">
        <f>I26-SUM(I11:I14)</f>
        <v>728274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2359486</v>
      </c>
      <c r="D24" s="68">
        <f>IF(E24=0,0,E24/C24)</f>
        <v>0.96914611911238302</v>
      </c>
      <c r="E24" s="27">
        <f>SUM(E11:E14)</f>
        <v>2286686.7000000002</v>
      </c>
      <c r="F24" s="6"/>
      <c r="G24" s="6"/>
      <c r="H24" s="66" t="s">
        <v>290</v>
      </c>
      <c r="I24" s="69">
        <f>E24/($I$26-I15)</f>
        <v>368.70149951628508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2829022</v>
      </c>
      <c r="D25" s="68">
        <f>IF(E25=0,0,E25/C25)</f>
        <v>0.86203292162450484</v>
      </c>
      <c r="E25" s="27">
        <f>E24+SUM(E15:E17)</f>
        <v>2438710.1</v>
      </c>
      <c r="F25" s="6"/>
      <c r="G25" s="6"/>
      <c r="H25" s="66" t="s">
        <v>294</v>
      </c>
      <c r="I25" s="69">
        <f>E25/$I$26</f>
        <v>3.3203400791857054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3155075</v>
      </c>
      <c r="D26" s="14">
        <f t="shared" ref="D26" si="2">E26/C26</f>
        <v>0.79525136486454373</v>
      </c>
      <c r="E26" s="27">
        <f>SUM(E11:E22)</f>
        <v>2509077.7000000002</v>
      </c>
      <c r="H26" s="5" t="s">
        <v>56</v>
      </c>
      <c r="I26" s="64">
        <v>734476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8270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>
      <c r="B39" s="5" t="s">
        <v>120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>
      <c r="B40" s="5" t="s">
        <v>121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123</v>
      </c>
      <c r="I42" s="64">
        <v>18682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2505517</v>
      </c>
      <c r="D44" s="68">
        <f>IF(E44=0,0,E44/C44)</f>
        <v>0.94180251022044559</v>
      </c>
      <c r="E44" s="27">
        <f>E24+SUM(E28:E29)</f>
        <v>2359702.2000000002</v>
      </c>
      <c r="F44" s="6"/>
      <c r="G44" s="6"/>
      <c r="H44" s="66" t="s">
        <v>291</v>
      </c>
      <c r="I44" s="69">
        <f>E44/(I46-I15-I32)</f>
        <v>142.03094980137234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2975053</v>
      </c>
      <c r="D45" s="68">
        <f>IF(E45=0,0,E45/C45)</f>
        <v>0.84426247196268445</v>
      </c>
      <c r="E45" s="27">
        <f>E44+(E25-E24)+SUM(E30:E33)</f>
        <v>2511725.6</v>
      </c>
      <c r="F45" s="6"/>
      <c r="G45" s="6"/>
      <c r="H45" s="66" t="s">
        <v>295</v>
      </c>
      <c r="I45" s="69">
        <f>E45/$I$46</f>
        <v>3.3349252082564349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3572928</v>
      </c>
      <c r="D46" s="14">
        <f>E46/C46</f>
        <v>0.76326186813728125</v>
      </c>
      <c r="E46" s="27">
        <f>E26+E42</f>
        <v>2727079.7</v>
      </c>
      <c r="F46" s="6"/>
      <c r="G46" s="6"/>
      <c r="H46" s="5" t="s">
        <v>292</v>
      </c>
      <c r="I46" s="152">
        <f>I26+I42</f>
        <v>753158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7297</v>
      </c>
      <c r="D50" s="208">
        <f>IF(E50=0, 0,E50/C50)</f>
        <v>1</v>
      </c>
      <c r="E50" s="212">
        <f>MAX(C50,C50*Dashboard!I10)</f>
        <v>7297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434"/>
      <c r="F53" s="5"/>
      <c r="G53" s="5"/>
      <c r="H53" s="3" t="s">
        <v>293</v>
      </c>
      <c r="I53" s="14">
        <f>D53/I3</f>
        <v>5.9072567096644128E-3</v>
      </c>
    </row>
    <row r="54" spans="2:9" ht="14">
      <c r="B54" s="58" t="s">
        <v>129</v>
      </c>
      <c r="C54" s="6"/>
      <c r="D54" s="448">
        <v>0</v>
      </c>
      <c r="E54" s="398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98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503941</v>
      </c>
      <c r="D58" s="126">
        <f>IF(E58=0,0,E58/C58)</f>
        <v>0.35795559400802873</v>
      </c>
      <c r="E58" s="215">
        <f>E14+E15+(E19*G19)+(E20*G20)+E29+E30+(E31*G31)+(E33*G33)+(E34*G34)+(E35*G35)</f>
        <v>180388.5</v>
      </c>
      <c r="H58" s="6"/>
    </row>
    <row r="59" spans="2:9" ht="14">
      <c r="B59" s="53" t="s">
        <v>89</v>
      </c>
      <c r="C59" s="207">
        <f>C11+C12+C28</f>
        <v>2359486</v>
      </c>
      <c r="D59" s="208">
        <f>IF(E59=0,0,E59/C59)</f>
        <v>0.96914611911238302</v>
      </c>
      <c r="E59" s="209">
        <f>E11+E12+E28</f>
        <v>2286686.7000000002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-666188.02175999992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-0.20579547550468244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8.5599999999999996E-2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1000CNY)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IF(G9="","",EOMONTH(EDATE(E3,12),0))</f>
        <v/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334</v>
      </c>
      <c r="C4" s="273">
        <v>1296901</v>
      </c>
      <c r="D4" s="244">
        <f>C4/$C$8</f>
        <v>0.89925557865307992</v>
      </c>
      <c r="E4" s="273">
        <f>C4*0.8</f>
        <v>1037520.8</v>
      </c>
      <c r="F4" s="244">
        <f>E4/E$8</f>
        <v>0.89135506019640331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335</v>
      </c>
      <c r="C5" s="273">
        <v>64283</v>
      </c>
      <c r="D5" s="244">
        <f t="shared" ref="D5:D7" si="0">C5/$C$8</f>
        <v>4.4573060212426345E-2</v>
      </c>
      <c r="E5" s="273">
        <f>C5*0.6</f>
        <v>38569.799999999996</v>
      </c>
      <c r="F5" s="244">
        <f t="shared" ref="F5:F7" si="1">E5/E$8</f>
        <v>3.3136093657845929E-2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336</v>
      </c>
      <c r="C6" s="273">
        <v>76943</v>
      </c>
      <c r="D6" s="244">
        <f t="shared" si="0"/>
        <v>5.3351352175920852E-2</v>
      </c>
      <c r="E6" s="273">
        <f>C6*1.1</f>
        <v>84637.3</v>
      </c>
      <c r="F6" s="244">
        <f t="shared" si="1"/>
        <v>7.2713612716353293E-2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272" t="s">
        <v>337</v>
      </c>
      <c r="C7" s="273">
        <v>4067</v>
      </c>
      <c r="D7" s="244">
        <f t="shared" si="0"/>
        <v>2.820008958572841E-3</v>
      </c>
      <c r="E7" s="273">
        <f>C7*0.8</f>
        <v>3253.6000000000004</v>
      </c>
      <c r="F7" s="244">
        <f t="shared" si="1"/>
        <v>2.7952334293972884E-3</v>
      </c>
      <c r="G7" s="216"/>
      <c r="H7" s="244"/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1442194</v>
      </c>
      <c r="D8" s="243"/>
      <c r="E8" s="313">
        <f>SUM(E4:E7)</f>
        <v>1163981.5000000002</v>
      </c>
      <c r="F8" s="243"/>
      <c r="G8" s="313"/>
      <c r="H8" s="243"/>
      <c r="I8" s="222"/>
      <c r="J8" s="267"/>
      <c r="K8" s="6"/>
      <c r="L8" s="73"/>
      <c r="M8" s="57"/>
    </row>
    <row r="9" spans="1:13" ht="15.75" customHeight="1">
      <c r="B9" s="17" t="s">
        <v>135</v>
      </c>
      <c r="C9" s="184"/>
      <c r="D9" s="245"/>
      <c r="E9" s="18">
        <f>E8/C8-1</f>
        <v>-0.19290920638970888</v>
      </c>
      <c r="F9" s="245"/>
      <c r="G9" s="72"/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842386</v>
      </c>
      <c r="D10" s="246"/>
      <c r="E10" s="221">
        <f>E8*(1-E11)</f>
        <v>679881.98526619875</v>
      </c>
      <c r="F10" s="246"/>
      <c r="G10" s="264" t="str">
        <f>IF(G8="","",G8*(1-G11))</f>
        <v/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0.41589966398417966</v>
      </c>
      <c r="D11" s="183"/>
      <c r="E11" s="72">
        <f>C11</f>
        <v>0.41589966398417966</v>
      </c>
      <c r="F11" s="183"/>
      <c r="G11" s="72"/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0.41535119408345894</v>
      </c>
      <c r="D13" s="186"/>
      <c r="E13" s="220">
        <v>0.51462759502620947</v>
      </c>
      <c r="F13" s="186"/>
      <c r="G13" s="65"/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435254+163763</f>
        <v>599017</v>
      </c>
      <c r="D14" s="247"/>
      <c r="E14" s="75">
        <v>599017</v>
      </c>
      <c r="F14" s="247"/>
      <c r="G14" s="75"/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 t="str">
        <f>IF(ABS(C17+E17)=ABS(C17)+ABS(E17),IF(E17&lt;0,-1,1)*(E17-C17)/C17,"Turn")</f>
        <v>Turn</v>
      </c>
      <c r="F16" s="248"/>
      <c r="G16" s="14" t="str">
        <f>IF(G9="","",IF(ABS(E17+G17)=ABS(E17)+ABS(G17),IF(G17&lt;0,-1,1)*(G17-E17)/E17,"Turn"))</f>
        <v/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791</v>
      </c>
      <c r="D17" s="296"/>
      <c r="E17" s="295">
        <f>E12-E14</f>
        <v>-114917.48526619852</v>
      </c>
      <c r="F17" s="296"/>
      <c r="G17" s="295" t="str">
        <f>IF(G9="","",G12-G14)</f>
        <v/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v>0.25</v>
      </c>
      <c r="D18" s="293"/>
      <c r="E18" s="294">
        <f>IF(E17="","",C18)</f>
        <v>0.25</v>
      </c>
      <c r="F18" s="294"/>
      <c r="G18" s="294" t="str">
        <f>IF(G17="","",E18)</f>
        <v/>
      </c>
      <c r="H18" s="294"/>
      <c r="I18" s="294" t="str">
        <f>IF(I17="","",G18)</f>
        <v/>
      </c>
      <c r="J18" s="310"/>
      <c r="L18" s="73"/>
    </row>
    <row r="19" spans="2:13" ht="15.75" customHeight="1">
      <c r="B19" s="300" t="s">
        <v>284</v>
      </c>
      <c r="C19" s="248">
        <f>C20/C10</f>
        <v>7.0424959579100312E-4</v>
      </c>
      <c r="D19" s="302"/>
      <c r="E19" s="301">
        <f>E20/E10</f>
        <v>-0.16902563644366031</v>
      </c>
      <c r="F19" s="301"/>
      <c r="G19" s="301" t="str">
        <f>IF(G10="","",G20/G10)</f>
        <v/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593.25</v>
      </c>
      <c r="D20" s="298"/>
      <c r="E20" s="299">
        <f>IF(E17="","",IF(E17&lt;=0,E17,E17*(1-E18)))</f>
        <v>-114917.48526619852</v>
      </c>
      <c r="F20" s="298"/>
      <c r="G20" s="299" t="str">
        <f>IF(G17="","",IF(G17&lt;=0,G17,G17*(1-G18)))</f>
        <v/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9" sqref="D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593.25</v>
      </c>
      <c r="D4" s="45">
        <f>Operation!E20</f>
        <v>-114917.48526619852</v>
      </c>
      <c r="E4" s="45" t="str">
        <f>Operation!G20</f>
        <v/>
      </c>
      <c r="F4" s="198" t="str">
        <f>Operation!I20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-194.70836117353312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Data!D35</f>
        <v>0.42808178207371606</v>
      </c>
      <c r="D6" s="220">
        <v>0.38619999999999999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253.95951721523204</v>
      </c>
      <c r="D7" s="286">
        <v>0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339.29048278476796</v>
      </c>
      <c r="D8" s="188">
        <f>D4-D7</f>
        <v>-114917.48526619852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2.5446848909893311E-4</v>
      </c>
      <c r="D9" s="283">
        <f>D8/(Common_Shares/Data!$C$4)</f>
        <v>-8.6188326317684943E-2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-8.618832631768493E-2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-7.9804005849708273E-2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1000CNY)</v>
      </c>
      <c r="E14" s="71" t="s">
        <v>213</v>
      </c>
    </row>
    <row r="15" spans="1:10" ht="15.75" customHeight="1">
      <c r="B15" s="58" t="s">
        <v>226</v>
      </c>
      <c r="C15" s="83">
        <f>Asset_Model!E59</f>
        <v>2286686.7000000002</v>
      </c>
      <c r="D15" s="213">
        <f>C15/(Dashboard!I5/Data!C4)</f>
        <v>1.7150192508074342</v>
      </c>
      <c r="E15" s="84" t="s">
        <v>224</v>
      </c>
      <c r="G15" s="134">
        <f>C15+C16+C17+C18</f>
        <v>2443164.2000000002</v>
      </c>
    </row>
    <row r="16" spans="1:10" ht="15.75" customHeight="1">
      <c r="B16" s="58" t="s">
        <v>230</v>
      </c>
      <c r="C16" s="83">
        <f>Asset_Model!E58</f>
        <v>180388.5</v>
      </c>
      <c r="D16" s="213">
        <f>C16/(Dashboard!I5/Data!C4)</f>
        <v>0.13529170835876941</v>
      </c>
      <c r="E16" s="84" t="s">
        <v>306</v>
      </c>
      <c r="G16" s="194">
        <f>(G15+MIN(D4,0))*Data!C$4/Dashboard!I5</f>
        <v>1.7461893386608818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-1.2460530702747653E-2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-7297</v>
      </c>
      <c r="D18" s="213">
        <f>C18/(Dashboard!I5/Data!C4)</f>
        <v>-5.4727634848892271E-3</v>
      </c>
      <c r="E18" s="451"/>
      <c r="F18" s="145">
        <f>D15+(MIN(D4,0)*Data!C$4/Dashboard!I5)</f>
        <v>1.6288309244897492</v>
      </c>
      <c r="G18" s="144">
        <f>SUM(D16:D18)</f>
        <v>0.11735841417113253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1000CNY)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(CNY)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</v>
      </c>
      <c r="D22" s="277">
        <v>5</v>
      </c>
      <c r="E22" s="202">
        <f>IF(G9&lt;0,G9,G9*D22/G11)</f>
        <v>-8.618832631768493E-2</v>
      </c>
      <c r="F22" s="342">
        <f>E22+$G$16</f>
        <v>1.6600010123431967</v>
      </c>
      <c r="G22" s="345">
        <f>ROUND(F22*Exchange_Rate,2)</f>
        <v>1.8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>IF(G9&lt;0,G9,G9*D23/G11)</f>
        <v>-8.618832631768493E-2</v>
      </c>
      <c r="F23" s="343">
        <f>E23+$G$16</f>
        <v>1.6600010123431967</v>
      </c>
      <c r="G23" s="348">
        <f>ROUND(F23*Exchange_Rate,2)</f>
        <v>1.8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>MIN(G22,G23)+ABS(G22-G23)*'Qualitative Analysis'!$E$64</f>
        <v>1.8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>MIN(G24,Asset_Model!D7)+ABS(G24-Asset_Model!D7)*'Qualitative Analysis'!$E$8</f>
        <v>1.6929092416372915</v>
      </c>
      <c r="D27" s="117" t="str">
        <f>Dashboard!J4</f>
        <v>HKD</v>
      </c>
      <c r="E27" s="118">
        <f>(C27-G16)/C9</f>
        <v>-209.37797529373412</v>
      </c>
      <c r="F27" s="155">
        <f>C27/(Data!C28*Exchange_Rate*Data!C4/Common_Shares)</f>
        <v>0.73989553752488335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Asset_Model!I3*Exchange_Rate*Data!C4/Common_Shares*0.9</f>
        <v>2.0539054790231197</v>
      </c>
      <c r="D30" s="334" t="str">
        <f>D27</f>
        <v>HKD</v>
      </c>
      <c r="E30" s="118">
        <f>(C30-G16)/C9</f>
        <v>1209.2504712542345</v>
      </c>
      <c r="F30" s="155">
        <f>C30/(Asset_Model!I3*Exchange_Rate*Data!C4/Common_Shares)</f>
        <v>0.90000000000000013</v>
      </c>
      <c r="I30" s="73"/>
    </row>
    <row r="31" spans="2:9" ht="15.75" customHeight="1">
      <c r="B31" s="352" t="s">
        <v>307</v>
      </c>
      <c r="C31" s="350">
        <f>MIN(C30,C27)+ABS(C30-C27)*'Qualitative Analysis'!E64</f>
        <v>1.8520668344602542</v>
      </c>
      <c r="D31" s="334" t="str">
        <f>D30</f>
        <v>HKD</v>
      </c>
      <c r="E31" s="118">
        <f>(C31-G16)/C9</f>
        <v>416.07311056187012</v>
      </c>
      <c r="F31" s="155">
        <f>C31/(Asset_Model!I3*Exchange_Rate*Data!C4/Common_Shares)</f>
        <v>0.81155640706846088</v>
      </c>
      <c r="I31" s="73"/>
    </row>
    <row r="32" spans="2:9" ht="15.75" customHeight="1">
      <c r="B32" s="333" t="s">
        <v>315</v>
      </c>
      <c r="C32" s="350">
        <f>IF(Asset_Model!D7&gt;C27,Asset_Model!D7,C27)/(1+Dashboard!C16)</f>
        <v>1.3543273933098332</v>
      </c>
      <c r="D32" s="334" t="str">
        <f>D30</f>
        <v>HKD</v>
      </c>
      <c r="E32" s="118">
        <f>(C32-G16)/C9</f>
        <v>-1539.9232601986298</v>
      </c>
      <c r="F32" s="155">
        <f>C32/(Asset_Model!I3*Exchange_Rate*Data!C4/Common_Shares)</f>
        <v>0.5934521653638033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D37" sqref="D37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1.6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2.2000000000000002</v>
      </c>
      <c r="E6" s="100" t="str">
        <f>IF(D6&gt;=3.5,"Strongly agree",IF(D6&gt;=2.5,"agree",IF(D6&gt;=1.5,"unclear",IF(D6&gt;=0.5,"disagree","Strongly disagree"))))</f>
        <v>unclear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1</v>
      </c>
      <c r="E19" s="31" t="s">
        <v>155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2</v>
      </c>
      <c r="E38" s="31" t="s">
        <v>147</v>
      </c>
      <c r="F38" s="6"/>
      <c r="G38" s="274"/>
    </row>
    <row r="39" spans="2:7" ht="15" customHeight="1">
      <c r="B39" s="53" t="s">
        <v>270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4</v>
      </c>
      <c r="E48" s="31" t="s">
        <v>157</v>
      </c>
      <c r="F48" s="6"/>
      <c r="G48" s="274"/>
    </row>
    <row r="49" spans="2:8" ht="15" customHeight="1">
      <c r="B49" s="1" t="s">
        <v>179</v>
      </c>
      <c r="D49" s="101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2.3129251700680271</v>
      </c>
      <c r="E54" s="31" t="s">
        <v>338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0.46353741496598633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1.7635374149659864</v>
      </c>
      <c r="E64" s="123">
        <f>AVERAGE(AVERAGE(D12:D16)/4,AVERAGE(D18:D22)/4,AVERAGE(D24:D28)/4,D62)</f>
        <v>0.44088435374149659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2023-07-06T07:02:06Z</dcterms:modified>
  <cp:category/>
  <cp:contentStatus/>
</cp:coreProperties>
</file>