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21620469-96FE-466F-A8B7-823DC82385FC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6" i="4" l="1"/>
  <c r="D7" i="4" s="1"/>
  <c r="C6" i="4"/>
  <c r="E12" i="7"/>
  <c r="E11" i="7"/>
  <c r="C17" i="7"/>
  <c r="C12" i="7"/>
  <c r="E5" i="7"/>
  <c r="E4" i="7"/>
  <c r="C8" i="7" l="1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6" i="7"/>
  <c r="G19" i="3"/>
  <c r="G20" i="3"/>
  <c r="G31" i="3"/>
  <c r="G33" i="3"/>
  <c r="G34" i="3"/>
  <c r="G35" i="3"/>
  <c r="D53" i="3"/>
  <c r="I53" i="3" s="1"/>
  <c r="I15" i="7"/>
  <c r="I18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4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J35" i="2" s="1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8" i="7"/>
  <c r="I10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3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1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8" i="7"/>
  <c r="G10" i="7" s="1"/>
  <c r="G15" i="7" s="1"/>
  <c r="I17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 s="1"/>
  <c r="I44" i="2"/>
  <c r="H15" i="2"/>
  <c r="I15" i="2"/>
  <c r="H17" i="2"/>
  <c r="K17" i="2"/>
  <c r="J17" i="2"/>
  <c r="G17" i="2"/>
  <c r="I13" i="2"/>
  <c r="I12" i="2"/>
  <c r="L17" i="2"/>
  <c r="I17" i="2"/>
  <c r="D4" i="7" l="1"/>
  <c r="D5" i="7"/>
  <c r="C25" i="3"/>
  <c r="I7" i="3" s="1"/>
  <c r="D36" i="5"/>
  <c r="E36" i="5" s="1"/>
  <c r="D6" i="5"/>
  <c r="E6" i="5" s="1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3" i="7"/>
  <c r="I16" i="7"/>
  <c r="C10" i="7"/>
  <c r="C15" i="7" s="1"/>
  <c r="C13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9" i="7"/>
  <c r="E9" i="7" s="1"/>
  <c r="E6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F4" i="7" l="1"/>
  <c r="F5" i="7"/>
  <c r="E8" i="7"/>
  <c r="E10" i="7" s="1"/>
  <c r="E15" i="7" s="1"/>
  <c r="G14" i="7" s="1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7" i="7"/>
  <c r="C18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3" i="7"/>
  <c r="E16" i="7"/>
  <c r="E14" i="7"/>
  <c r="C8" i="4"/>
  <c r="C9" i="4" s="1"/>
  <c r="J10" i="1"/>
  <c r="I25" i="3"/>
  <c r="J25" i="3" s="1"/>
  <c r="D25" i="3"/>
  <c r="D45" i="3" l="1"/>
  <c r="E18" i="7"/>
  <c r="E17" i="7" s="1"/>
  <c r="G16" i="7"/>
  <c r="G18" i="7" s="1"/>
  <c r="J26" i="3"/>
  <c r="D18" i="5" s="1"/>
  <c r="E64" i="5" s="1"/>
  <c r="D4" i="4" l="1"/>
  <c r="D6" i="3" s="1"/>
  <c r="D7" i="3" s="1"/>
  <c r="D8" i="4"/>
  <c r="D9" i="4" s="1"/>
  <c r="F18" i="4"/>
  <c r="E4" i="4"/>
  <c r="G17" i="7"/>
  <c r="D5" i="4"/>
  <c r="G16" i="4"/>
  <c r="E18" i="5"/>
  <c r="D64" i="5"/>
  <c r="E7" i="5" s="1"/>
  <c r="D7" i="5" s="1"/>
  <c r="D8" i="5" s="1"/>
  <c r="E8" i="5" s="1"/>
  <c r="F41" i="1"/>
  <c r="D11" i="4" l="1"/>
  <c r="D12" i="4" s="1"/>
  <c r="E8" i="4"/>
  <c r="G9" i="4" s="1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s="1"/>
  <c r="C30" i="4" s="1"/>
  <c r="C27" i="4" l="1"/>
  <c r="E27" i="4" s="1"/>
  <c r="E14" i="1" l="1"/>
  <c r="C32" i="4"/>
  <c r="E32" i="4" s="1"/>
  <c r="C31" i="4"/>
  <c r="I35" i="1" s="1"/>
  <c r="E45" i="1" s="1"/>
  <c r="E50" i="1" s="1"/>
  <c r="F27" i="4"/>
  <c r="F30" i="4"/>
  <c r="E30" i="4"/>
  <c r="F31" i="4" l="1"/>
  <c r="F32" i="4"/>
  <c r="D18" i="1"/>
  <c r="F45" i="1"/>
  <c r="F48" i="1" s="1"/>
  <c r="I36" i="1"/>
  <c r="B17" i="1" s="1"/>
  <c r="H17" i="1" s="1"/>
  <c r="D16" i="1"/>
  <c r="E31" i="4"/>
  <c r="E48" i="1"/>
  <c r="E46" i="1" l="1"/>
  <c r="E49" i="1" s="1"/>
  <c r="E51" i="1" s="1"/>
  <c r="D17" i="1"/>
  <c r="F50" i="1"/>
  <c r="J17" i="1"/>
  <c r="F46" i="1"/>
  <c r="F49" i="1" s="1"/>
  <c r="F51" i="1" l="1"/>
</calcChain>
</file>

<file path=xl/sharedStrings.xml><?xml version="1.0" encoding="utf-8"?>
<sst xmlns="http://schemas.openxmlformats.org/spreadsheetml/2006/main" count="411" uniqueCount="343">
  <si>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</si>
  <si>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</si>
  <si>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</si>
  <si>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</si>
  <si>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</si>
  <si>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</si>
  <si>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</si>
  <si>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</si>
  <si>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</si>
  <si>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</si>
  <si>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</si>
  <si>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</si>
  <si>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</si>
  <si>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</si>
  <si>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</si>
  <si>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</si>
  <si>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</si>
  <si>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</si>
  <si>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</si>
  <si>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</si>
  <si>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</si>
  <si>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</si>
  <si>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</si>
  <si>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</si>
  <si>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</si>
  <si>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</si>
  <si>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</si>
  <si>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</si>
  <si>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</si>
  <si>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</si>
  <si>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</si>
  <si>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</si>
  <si>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</si>
  <si>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</si>
  <si>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</si>
  <si>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</si>
  <si>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</si>
  <si>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</si>
  <si>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</si>
  <si>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</si>
  <si>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</si>
  <si>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</si>
  <si>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</si>
  <si>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</si>
  <si>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</si>
  <si>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</si>
  <si>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</si>
  <si>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</si>
  <si>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</si>
  <si>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</si>
  <si>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</si>
  <si>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</si>
  <si>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</si>
  <si>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</si>
  <si>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</si>
  <si>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</si>
  <si>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</si>
  <si>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</si>
  <si>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</si>
  <si>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</si>
  <si>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</si>
  <si>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</si>
  <si>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</si>
  <si>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</si>
  <si>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</si>
  <si>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</si>
  <si>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</si>
  <si>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</si>
  <si>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</si>
  <si>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</si>
  <si>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</si>
  <si>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</si>
  <si>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</si>
  <si>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</si>
  <si>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</si>
  <si>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</si>
  <si>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</si>
  <si>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</si>
  <si>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</si>
  <si>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</si>
  <si>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</si>
  <si>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</si>
  <si>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</si>
  <si>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</si>
  <si>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</si>
  <si>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</si>
  <si>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</si>
  <si>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</si>
  <si>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</si>
  <si>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</si>
  <si>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</si>
  <si>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</si>
  <si>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</si>
  <si>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</si>
  <si>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</si>
  <si>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</si>
  <si>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</si>
  <si>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</si>
  <si>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</si>
  <si>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</si>
  <si>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</si>
  <si>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</si>
  <si>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</si>
  <si>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</si>
  <si>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</si>
  <si>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</si>
  <si>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</si>
  <si>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</si>
  <si>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</si>
  <si>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</si>
  <si>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</si>
  <si>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</si>
  <si>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</si>
  <si>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</si>
  <si>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</si>
  <si>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</si>
  <si>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</si>
  <si>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</si>
  <si>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</si>
  <si>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</si>
  <si>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</si>
  <si>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</si>
  <si>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</si>
  <si>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</si>
  <si>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</si>
  <si>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</si>
  <si>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</si>
  <si>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</si>
  <si>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</si>
  <si>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</si>
  <si>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</si>
  <si>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</si>
  <si>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</si>
  <si>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</si>
  <si>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</si>
  <si>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</si>
  <si>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</si>
  <si>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</si>
  <si>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</si>
  <si>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</si>
  <si>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</si>
  <si>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</si>
  <si>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</si>
  <si>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</si>
  <si>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</si>
  <si>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</si>
  <si>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</si>
  <si>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</si>
  <si>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</si>
  <si>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</si>
  <si>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</si>
  <si>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</si>
  <si>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</si>
  <si>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</si>
  <si>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</si>
  <si>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</si>
  <si>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</si>
  <si>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</si>
  <si>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</si>
  <si>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</si>
  <si>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</si>
  <si>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</si>
  <si>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</si>
  <si>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</si>
  <si>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</si>
  <si>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</si>
  <si>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</si>
  <si>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</si>
  <si>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</si>
  <si>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</si>
  <si>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</si>
  <si>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</si>
  <si>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</si>
  <si>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</si>
  <si>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</si>
  <si>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</si>
  <si>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</si>
  <si>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</si>
  <si>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</si>
  <si>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</si>
  <si>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</si>
  <si>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</si>
  <si>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</si>
  <si>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</si>
  <si>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</si>
  <si>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</si>
  <si>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</si>
  <si>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</si>
  <si>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</si>
  <si>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</si>
  <si>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</si>
  <si>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</si>
  <si>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</si>
  <si>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</si>
  <si>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</si>
  <si>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</si>
  <si>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</si>
  <si>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</si>
  <si>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</si>
  <si>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</si>
  <si>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</si>
  <si>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</si>
  <si>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</si>
  <si>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</si>
  <si>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</si>
  <si>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</si>
  <si>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</si>
  <si>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</si>
  <si>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</si>
  <si>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</si>
  <si>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</si>
  <si>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</si>
  <si>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</si>
  <si>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</si>
  <si>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</si>
  <si>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</si>
  <si>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</si>
  <si>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</si>
  <si>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</si>
  <si>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</si>
  <si>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</si>
  <si>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</si>
  <si>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</si>
  <si>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</si>
  <si>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</si>
  <si>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</si>
  <si>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</si>
  <si>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</si>
  <si>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</si>
  <si>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</si>
  <si>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</si>
  <si>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</si>
  <si>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</si>
  <si>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</si>
  <si>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</si>
  <si>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</si>
  <si>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</si>
  <si>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</si>
  <si>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</si>
  <si>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</si>
  <si>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</si>
  <si>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</si>
  <si>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</si>
  <si>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</si>
  <si>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</si>
  <si>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</si>
  <si>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</si>
  <si>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</si>
  <si>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</si>
  <si>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</si>
  <si>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</si>
  <si>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</si>
  <si>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</si>
  <si>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</si>
  <si>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</si>
  <si>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</si>
  <si>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</si>
  <si>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</si>
  <si>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</si>
  <si>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</si>
  <si>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</si>
  <si>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</si>
  <si>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</si>
  <si>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</si>
  <si>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</si>
  <si>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</si>
  <si>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</si>
  <si>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</si>
  <si>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</si>
  <si>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</si>
  <si>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</si>
  <si>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</si>
  <si>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</si>
  <si>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</si>
  <si>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</si>
  <si>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</si>
  <si>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</si>
  <si>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</si>
  <si>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</si>
  <si>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</si>
  <si>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</si>
  <si>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</si>
  <si>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</si>
  <si>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</si>
  <si>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</si>
  <si>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</si>
  <si>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</si>
  <si>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</si>
  <si>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</si>
  <si>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</si>
  <si>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</si>
  <si>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</si>
  <si>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</si>
  <si>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</si>
  <si>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</si>
  <si>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</si>
  <si>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</si>
  <si>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</si>
  <si>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</si>
  <si>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</si>
  <si>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</si>
  <si>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</si>
  <si>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</si>
  <si>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</si>
  <si>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</si>
  <si>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</si>
  <si>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</si>
  <si>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</si>
  <si>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</si>
  <si>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</si>
  <si>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</si>
  <si>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</si>
  <si>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</si>
  <si>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</si>
  <si>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</si>
  <si>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</si>
  <si>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</si>
  <si>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</si>
  <si>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</si>
  <si>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</si>
  <si>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</si>
  <si>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</si>
  <si>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</si>
  <si>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</si>
  <si>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CNY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</si>
  <si>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</si>
  <si>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</si>
  <si>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</si>
  <si>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</si>
  <si>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</si>
  <si>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9982.HK</t>
  </si>
  <si>
    <t>CENTRALCHINA MT</t>
  </si>
  <si>
    <t>Projects in Henan Province</t>
  </si>
  <si>
    <t>outside Henan province</t>
  </si>
  <si>
    <t>listco not honest</t>
  </si>
  <si>
    <t>off-balance sheet debt and secret financial assistance exist</t>
  </si>
  <si>
    <t>Information Technology Like, 6.6y</t>
  </si>
  <si>
    <t>non-perishable</t>
  </si>
  <si>
    <t>河南代建龙头</t>
  </si>
  <si>
    <t>1. 老板胡葆森是经验丰富的地产元老之一，民企竞争力较强
2. 大中原(河南为中心)市场龙头，丰富的开发经验
3. 公司利润为正，在管项目较多</t>
  </si>
  <si>
    <t>1. 融资能力不如国资背景企业
2. 拿政府代建单子的能力不如国资背景企业
3. 民企开发商品牌现在号召力很弱</t>
  </si>
  <si>
    <t>1. 代建趋势(大中原中小房企多，代建需求多)
2. 房地产行业最终复苏</t>
  </si>
  <si>
    <t>1. 建业地产仍未走出债务危机，美元债违约
2. 中原建业秘密财务支援的担忧
3. 房地产中短期持续下行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</si>
</sst>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zoomScaleNormal="100" workbookViewId="0">
      <selection activeCell="C22" sqref="C22:F22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9982.HK : CENTRALCHINA MT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330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331</v>
      </c>
      <c r="D4" s="375"/>
      <c r="E4" s="6"/>
      <c r="G4" s="5" t="s">
        <v>5</v>
      </c>
      <c r="I4" s="32">
        <v>0.375</v>
      </c>
      <c r="J4" s="33" t="s">
        <v>6</v>
      </c>
      <c r="K4" s="149"/>
    </row>
    <row r="5" spans="1:12" ht="15.75" customHeight="1">
      <c r="B5" s="5" t="s">
        <v>7</v>
      </c>
      <c r="C5" s="376">
        <v>45058</v>
      </c>
      <c r="D5" s="375"/>
      <c r="E5" s="120" t="str">
        <f ca="1">IF(C5+30&gt;=TODAY(),"Patience Premium","")</f>
        <v/>
      </c>
      <c r="G5" s="5" t="s">
        <v>8</v>
      </c>
      <c r="I5" s="386">
        <v>3625799936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88">
        <f>I4*I5/1000000</f>
        <v>1359.674976</v>
      </c>
      <c r="J6" s="389"/>
      <c r="K6" s="148"/>
    </row>
    <row r="7" spans="1:12" ht="15.75" customHeight="1">
      <c r="B7" s="136" t="s">
        <v>10</v>
      </c>
      <c r="C7" s="142">
        <f>(Data!C39*Exchange_Rate)/I4</f>
        <v>0.3502693868712457</v>
      </c>
      <c r="D7" s="142">
        <f>(Data!C40*Exchange_Rate)/I4</f>
        <v>5.0988783077486203E-3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4.1411606043913052</v>
      </c>
      <c r="J9" s="48">
        <f>IF(I9="NNI","NNI",1/I9)</f>
        <v>0.24147819790896194</v>
      </c>
    </row>
    <row r="10" spans="1:12" ht="15.75" customHeight="1">
      <c r="B10" s="3" t="s">
        <v>255</v>
      </c>
      <c r="C10" s="279" t="s">
        <v>326</v>
      </c>
      <c r="D10" s="279">
        <v>2.8999999999999998E-2</v>
      </c>
      <c r="E10" s="5"/>
      <c r="G10" s="5" t="s">
        <v>14</v>
      </c>
      <c r="I10" s="135">
        <f>I4/(Data!C28*I12*Data!C4/Common_Shares)</f>
        <v>0.57703604411465914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403">
        <f ca="1">C12-D10</f>
        <v>5.1000000000000004E-2</v>
      </c>
      <c r="D11" s="404"/>
      <c r="E11" s="13"/>
      <c r="G11" s="5" t="s">
        <v>15</v>
      </c>
      <c r="H11" s="6"/>
      <c r="I11" s="401" t="s">
        <v>324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0.08</v>
      </c>
      <c r="D12" s="400"/>
      <c r="G12" s="131" t="s">
        <v>16</v>
      </c>
      <c r="H12" s="130"/>
      <c r="I12" s="132">
        <v>1.0819003184636433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 ca="1">'FCFF Model'!C27</f>
        <v>0.17654052750381749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0.375</v>
      </c>
      <c r="C16" s="420">
        <v>0.25</v>
      </c>
      <c r="D16" s="156">
        <f ca="1">I35/B16-(1+J25)</f>
        <v>-0.53133259863372395</v>
      </c>
      <c r="E16" s="393" t="s">
        <v>23</v>
      </c>
      <c r="F16" s="390">
        <f>('FCFF Model'!G16)*Exchange_Rate</f>
        <v>0.27932776120486219</v>
      </c>
      <c r="G16" s="393" t="s">
        <v>24</v>
      </c>
      <c r="H16" s="355">
        <f>B16-$F$16</f>
        <v>9.5672238795137809E-2</v>
      </c>
      <c r="I16" s="411">
        <v>2.7E-2</v>
      </c>
      <c r="J16" s="158">
        <f>I16/B16</f>
        <v>7.1999999999999995E-2</v>
      </c>
    </row>
    <row r="17" spans="1:10" ht="15.75" customHeight="1">
      <c r="B17" s="269">
        <f ca="1">(I35+I36)/2</f>
        <v>0.19599134875770374</v>
      </c>
      <c r="C17" s="421"/>
      <c r="D17" s="268">
        <f ca="1">I35/B17-(1+J25)</f>
        <v>7.9394611556788952E-2</v>
      </c>
      <c r="E17" s="394"/>
      <c r="F17" s="391"/>
      <c r="G17" s="394"/>
      <c r="H17" s="356">
        <f ca="1">B17-$F$16</f>
        <v>-8.3336412447158448E-2</v>
      </c>
      <c r="I17" s="412"/>
      <c r="J17" s="159">
        <f ca="1">I16/B17</f>
        <v>0.13776118268046117</v>
      </c>
    </row>
    <row r="18" spans="1:10" ht="15.75" customHeight="1">
      <c r="B18" s="323">
        <f>C35</f>
        <v>0.19</v>
      </c>
      <c r="C18" s="422"/>
      <c r="D18" s="157">
        <f ca="1">I35/B18-(1+J25)</f>
        <v>0.11973829217028165</v>
      </c>
      <c r="E18" s="395"/>
      <c r="F18" s="392"/>
      <c r="G18" s="395"/>
      <c r="H18" s="357">
        <f>B18-$F$16</f>
        <v>-8.9327761204862188E-2</v>
      </c>
      <c r="I18" s="413"/>
      <c r="J18" s="160">
        <f>I16/B18</f>
        <v>0.14210526315789473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 t="s">
        <v>338</v>
      </c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 t="s">
        <v>339</v>
      </c>
      <c r="D22" s="398"/>
      <c r="E22" s="398"/>
      <c r="F22" s="398"/>
      <c r="G22" s="397" t="s">
        <v>340</v>
      </c>
      <c r="H22" s="397"/>
      <c r="I22" s="398"/>
      <c r="J22" s="398"/>
    </row>
    <row r="23" spans="1:10" ht="52.5" customHeight="1">
      <c r="A23" s="6"/>
      <c r="B23" s="25" t="s">
        <v>28</v>
      </c>
      <c r="C23" s="382" t="s">
        <v>341</v>
      </c>
      <c r="D23" s="383"/>
      <c r="E23" s="383"/>
      <c r="F23" s="383"/>
      <c r="G23" s="382" t="s">
        <v>342</v>
      </c>
      <c r="H23" s="382"/>
      <c r="I23" s="383"/>
      <c r="J23" s="38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329</v>
      </c>
      <c r="I25" s="30"/>
      <c r="J25" s="359">
        <v>0.2</v>
      </c>
    </row>
    <row r="26" spans="1:10" ht="15.75" customHeight="1">
      <c r="B26" s="23" t="s">
        <v>31</v>
      </c>
      <c r="C26" s="377"/>
      <c r="D26" s="378"/>
      <c r="E26" s="417" t="str">
        <f>IF(C26="","","Action_Planning")</f>
        <v/>
      </c>
      <c r="F26" s="418"/>
      <c r="G26" s="418"/>
      <c r="H26" s="419"/>
      <c r="I26" s="396" t="s">
        <v>32</v>
      </c>
      <c r="J26" s="396"/>
    </row>
    <row r="27" spans="1:10" ht="15.75" customHeight="1">
      <c r="B27" s="23" t="s">
        <v>33</v>
      </c>
      <c r="C27" s="410">
        <f>C31/D25</f>
        <v>0.2878787878787879</v>
      </c>
      <c r="D27" s="409"/>
      <c r="E27" s="408">
        <f>E31/D25</f>
        <v>0</v>
      </c>
      <c r="F27" s="409"/>
      <c r="G27" s="415">
        <f>G31/D25</f>
        <v>0</v>
      </c>
      <c r="H27" s="416"/>
      <c r="I27" s="414">
        <f>C27+E27+G27</f>
        <v>0.2878787878787879</v>
      </c>
      <c r="J27" s="414"/>
    </row>
    <row r="28" spans="1:10" ht="15.75" customHeight="1">
      <c r="B28" s="23" t="s">
        <v>34</v>
      </c>
      <c r="C28" s="436">
        <v>1000000</v>
      </c>
      <c r="D28" s="398"/>
      <c r="E28" s="436">
        <v>0</v>
      </c>
      <c r="F28" s="398"/>
      <c r="G28" s="386"/>
      <c r="H28" s="387"/>
      <c r="I28" s="426">
        <f>C28+E28+G28</f>
        <v>1000000</v>
      </c>
      <c r="J28" s="426"/>
    </row>
    <row r="29" spans="1:10" ht="15.75" customHeight="1">
      <c r="B29" s="23" t="s">
        <v>35</v>
      </c>
      <c r="C29" s="437">
        <v>0.19</v>
      </c>
      <c r="D29" s="398"/>
      <c r="E29" s="437">
        <v>0.19</v>
      </c>
      <c r="F29" s="398"/>
      <c r="G29" s="406"/>
      <c r="H29" s="407"/>
      <c r="I29" s="405"/>
      <c r="J29" s="405"/>
    </row>
    <row r="30" spans="1:10" ht="15.75" customHeight="1">
      <c r="B30" s="23" t="s">
        <v>36</v>
      </c>
      <c r="C30" s="424">
        <f>C29*$I$5/1000000</f>
        <v>688.90198784000006</v>
      </c>
      <c r="D30" s="432"/>
      <c r="E30" s="424">
        <f>E29*$I$5/1000000</f>
        <v>688.90198784000006</v>
      </c>
      <c r="F30" s="432"/>
      <c r="G30" s="368">
        <f>G29*$I$5/1000000</f>
        <v>0</v>
      </c>
      <c r="H30" s="369"/>
      <c r="I30" s="423"/>
      <c r="J30" s="423"/>
    </row>
    <row r="31" spans="1:10" ht="15.75" customHeight="1">
      <c r="B31" s="2" t="s">
        <v>37</v>
      </c>
      <c r="C31" s="433">
        <f>C28*C29</f>
        <v>190000</v>
      </c>
      <c r="D31" s="434"/>
      <c r="E31" s="425">
        <f>E28*E29</f>
        <v>0</v>
      </c>
      <c r="F31" s="435"/>
      <c r="G31" s="370">
        <f>G28*G29</f>
        <v>0</v>
      </c>
      <c r="H31" s="371"/>
      <c r="I31" s="425">
        <f>C31+E31+G31</f>
        <v>190000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0.19</v>
      </c>
      <c r="F32" s="409"/>
      <c r="G32" s="115"/>
      <c r="H32" s="115"/>
      <c r="I32" s="427">
        <f>IF(I31=0,"",I31/I28)</f>
        <v>0.19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688.90198784000006</v>
      </c>
      <c r="F33" s="432"/>
      <c r="G33" s="116"/>
      <c r="H33" s="116"/>
      <c r="I33" s="424">
        <f>IF(I32="","",I32*$I$5/1000000)</f>
        <v>688.90198784000006</v>
      </c>
      <c r="J33" s="424"/>
    </row>
    <row r="34" spans="2:11" ht="15.75" customHeight="1"/>
    <row r="35" spans="2:11" ht="15.75" customHeight="1">
      <c r="B35" s="143" t="s">
        <v>286</v>
      </c>
      <c r="C35" s="364">
        <f>E29</f>
        <v>0.19</v>
      </c>
      <c r="D35" s="365"/>
      <c r="G35" s="366" t="s">
        <v>317</v>
      </c>
      <c r="H35" s="367"/>
      <c r="I35" s="362">
        <f ca="1">'FCFF Model'!C31</f>
        <v>0.25075027551235352</v>
      </c>
      <c r="J35" s="363"/>
    </row>
    <row r="36" spans="2:11" ht="15.75" customHeight="1">
      <c r="B36" s="143" t="s">
        <v>318</v>
      </c>
      <c r="C36" s="364">
        <f>E32</f>
        <v>0.19</v>
      </c>
      <c r="D36" s="365"/>
      <c r="G36" s="361" t="s">
        <v>315</v>
      </c>
      <c r="H36" s="361"/>
      <c r="I36" s="362">
        <f ca="1">'FCFF Model'!C32</f>
        <v>0.141232422003054</v>
      </c>
      <c r="J36" s="36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0.18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0.36766156462585037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 ca="1">I35/C29-1</f>
        <v>0.3197382921702816</v>
      </c>
      <c r="F45" s="332">
        <f ca="1">I35/C36-1</f>
        <v>0.3197382921702816</v>
      </c>
    </row>
    <row r="46" spans="2:11" ht="15.75" customHeight="1">
      <c r="B46" s="3" t="s">
        <v>300</v>
      </c>
      <c r="E46" s="329">
        <f ca="1">I36/C29-1</f>
        <v>-0.2566714631418211</v>
      </c>
      <c r="F46" s="332">
        <f ca="1">I36/C36-1</f>
        <v>-0.2566714631418211</v>
      </c>
    </row>
    <row r="47" spans="2:11" ht="15.75" customHeight="1"/>
    <row r="48" spans="2:11" ht="15.75" customHeight="1">
      <c r="B48" s="3" t="s">
        <v>302</v>
      </c>
      <c r="E48" s="353">
        <f ca="1">IF(E45&lt;=0,0,AVERAGE(F39:F41,1-F42,E45/J25))</f>
        <v>0.68927060509545168</v>
      </c>
      <c r="F48" s="329">
        <f ca="1">IF(F45&lt;=0,0,AVERAGE(F39:F41,1-F42,F45/J25))</f>
        <v>0.68927060509545168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1.2457103265648726</v>
      </c>
      <c r="F49" s="328">
        <f ca="1">IF(F46&gt;=0,100,F45/ABS(F46))</f>
        <v>1.2457103265648726</v>
      </c>
      <c r="G49" s="73"/>
    </row>
    <row r="50" spans="2:9" ht="15.75" customHeight="1">
      <c r="B50" s="3" t="s">
        <v>328</v>
      </c>
      <c r="E50" s="358">
        <f ca="1">MAX(J25*2/E45,1)</f>
        <v>1.2510231329658001</v>
      </c>
      <c r="F50" s="358">
        <f ca="1">MAX(J25*2/F45,1)</f>
        <v>1.2510231329658001</v>
      </c>
      <c r="G50" s="330"/>
      <c r="H50" s="84"/>
      <c r="I50" s="84"/>
    </row>
    <row r="51" spans="2:9" ht="15.75" customHeight="1">
      <c r="B51" s="3" t="s">
        <v>327</v>
      </c>
      <c r="E51" s="327">
        <f ca="1">MIN(MAX(E48-ABS((1-E48)/E49),0)/E50,H51)</f>
        <v>0.35157709421268291</v>
      </c>
      <c r="F51" s="327">
        <f ca="1">MIN(MAX(F48-ABS((1-F48)/F49),0)/F50,H51)</f>
        <v>0.35157709421268291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5" sqref="C35:E3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303477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605679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605679</v>
      </c>
      <c r="D7" s="35">
        <v>1301449</v>
      </c>
      <c r="E7" s="35">
        <v>1152082</v>
      </c>
      <c r="F7" s="35">
        <v>1028995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-0.53461180576419054</v>
      </c>
      <c r="D8" s="14">
        <f t="shared" si="1"/>
        <v>0.1296496256342865</v>
      </c>
      <c r="E8" s="14">
        <f t="shared" si="1"/>
        <v>0.11961865703914976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0</v>
      </c>
      <c r="D9" s="35">
        <v>0</v>
      </c>
      <c r="E9" s="35">
        <v>0</v>
      </c>
      <c r="F9" s="35">
        <v>0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1</v>
      </c>
      <c r="D10" s="14">
        <f t="shared" si="2"/>
        <v>1</v>
      </c>
      <c r="E10" s="14">
        <f t="shared" si="2"/>
        <v>1</v>
      </c>
      <c r="F10" s="14">
        <f t="shared" si="2"/>
        <v>1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0</v>
      </c>
      <c r="D11" s="35">
        <v>19711</v>
      </c>
      <c r="E11" s="35">
        <v>47426</v>
      </c>
      <c r="F11" s="35">
        <v>26016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</v>
      </c>
      <c r="D12" s="14">
        <f t="shared" si="3"/>
        <v>1.514542636707239E-2</v>
      </c>
      <c r="E12" s="14">
        <f t="shared" si="3"/>
        <v>4.1165472596568664E-2</v>
      </c>
      <c r="F12" s="14">
        <f t="shared" si="3"/>
        <v>2.5282921685722437E-2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1</v>
      </c>
      <c r="D13" s="14">
        <f t="shared" si="4"/>
        <v>0.98485457363292761</v>
      </c>
      <c r="E13" s="14">
        <f t="shared" si="4"/>
        <v>0.95883452740343134</v>
      </c>
      <c r="F13" s="14">
        <f t="shared" si="4"/>
        <v>0.97471707831427756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605679</v>
      </c>
      <c r="D14" s="27">
        <f t="shared" si="5"/>
        <v>1281738</v>
      </c>
      <c r="E14" s="27">
        <f t="shared" si="5"/>
        <v>1104656</v>
      </c>
      <c r="F14" s="27">
        <f t="shared" si="5"/>
        <v>1002979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-0.52745490888153435</v>
      </c>
      <c r="D15" s="14">
        <f t="shared" ref="D15:M15" si="6">IF(E14="","",IF(ABS(D14+E14)=ABS(D14)+ABS(E14),IF(D14&lt;0,-1,1)*(D14-E14)/E14,"Turn"))</f>
        <v>0.16030510855868252</v>
      </c>
      <c r="E15" s="14">
        <f t="shared" si="6"/>
        <v>0.10137500386349066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IF(C14="","",C14*(1-Operation!$D$16))</f>
        <v>605679</v>
      </c>
      <c r="D16" s="140">
        <f>IF(D14="","",D14*(1-Operation!$D$16))</f>
        <v>1281738</v>
      </c>
      <c r="E16" s="140">
        <f>IF(E14="","",E14*(1-Operation!$D$16))</f>
        <v>1104656</v>
      </c>
      <c r="F16" s="140">
        <f>IF(F14="","",F14*(1-Operation!$D$16))</f>
        <v>1002979</v>
      </c>
      <c r="G16" s="140" t="str">
        <f>IF(G14="","",G14*(1-Operation!$D$16))</f>
        <v/>
      </c>
      <c r="H16" s="140" t="str">
        <f>IF(H14="","",H14*(1-Operation!$D$16))</f>
        <v/>
      </c>
      <c r="I16" s="140" t="str">
        <f>IF(I14="","",I14*(1-Operation!$D$16))</f>
        <v/>
      </c>
      <c r="J16" s="140" t="str">
        <f>IF(J14="","",J14*(1-Operation!$D$16))</f>
        <v/>
      </c>
      <c r="K16" s="140" t="str">
        <f>IF(K14="","",K14*(1-Operation!$D$16))</f>
        <v/>
      </c>
      <c r="L16" s="140" t="str">
        <f>IF(L14="","",L14*(1-Operation!$D$16))</f>
        <v/>
      </c>
      <c r="M16" s="231" t="str">
        <f>IF(M14="","",M14*(1-Operation!$D$16))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1</v>
      </c>
      <c r="D17" s="126">
        <f t="shared" si="7"/>
        <v>0.98485457363292761</v>
      </c>
      <c r="E17" s="126">
        <f t="shared" si="7"/>
        <v>0.95883452740343134</v>
      </c>
      <c r="F17" s="126">
        <f t="shared" si="7"/>
        <v>0.97471707831427756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211</v>
      </c>
      <c r="D18" s="141">
        <v>413</v>
      </c>
      <c r="E18" s="141">
        <v>389</v>
      </c>
      <c r="F18" s="141">
        <v>242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303477</v>
      </c>
      <c r="D19" s="35">
        <v>770155</v>
      </c>
      <c r="E19" s="35">
        <v>681470</v>
      </c>
      <c r="F19" s="35">
        <v>641097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-0.60595334705351522</v>
      </c>
      <c r="D20" s="14">
        <f t="shared" ref="D20:M20" si="8">IF(E19="","",IF(ABS(D19+E19)=ABS(D19)+ABS(E19),IF(D19&lt;0,-1,1)*(D19-E19)/E19,"Turn"))</f>
        <v>0.13013779036494635</v>
      </c>
      <c r="E20" s="14">
        <f t="shared" si="8"/>
        <v>6.2974869637511949E-2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2650766</v>
      </c>
      <c r="D21" s="35">
        <v>2844456</v>
      </c>
      <c r="E21" s="35">
        <v>1640040</v>
      </c>
      <c r="F21" s="35">
        <v>1343960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514865</v>
      </c>
      <c r="D22" s="35">
        <v>573793</v>
      </c>
      <c r="E22" s="35">
        <v>662588</v>
      </c>
      <c r="F22" s="35">
        <v>625978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2462</v>
      </c>
      <c r="D23" s="35">
        <v>4464</v>
      </c>
      <c r="E23" s="35">
        <v>7281</v>
      </c>
      <c r="F23" s="35">
        <v>4564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2462</v>
      </c>
      <c r="D24" s="137">
        <v>4464</v>
      </c>
      <c r="E24" s="137">
        <v>7281</v>
      </c>
      <c r="F24" s="137">
        <v>4564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636</v>
      </c>
      <c r="D25" s="35">
        <v>1609</v>
      </c>
      <c r="E25" s="35">
        <v>5071</v>
      </c>
      <c r="F25" s="35">
        <v>4528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636</v>
      </c>
      <c r="D26" s="137">
        <v>1609</v>
      </c>
      <c r="E26" s="137">
        <v>5071</v>
      </c>
      <c r="F26" s="137">
        <v>4528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3098</v>
      </c>
      <c r="D27" s="27">
        <f t="shared" si="9"/>
        <v>6073</v>
      </c>
      <c r="E27" s="27">
        <f t="shared" si="9"/>
        <v>12352</v>
      </c>
      <c r="F27" s="27">
        <f t="shared" si="9"/>
        <v>9092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2177935</v>
      </c>
      <c r="D28" s="35">
        <v>2319629</v>
      </c>
      <c r="E28" s="35">
        <v>1007392</v>
      </c>
      <c r="F28" s="35">
        <v>746731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2177935</v>
      </c>
      <c r="D29" s="137">
        <v>2319629</v>
      </c>
      <c r="E29" s="137">
        <v>1007392</v>
      </c>
      <c r="F29" s="137">
        <v>746731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12027</v>
      </c>
      <c r="D30" s="35">
        <v>20212</v>
      </c>
      <c r="E30" s="35">
        <v>24342</v>
      </c>
      <c r="F30" s="35">
        <v>24369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1564617</v>
      </c>
      <c r="D31" s="35">
        <v>1975806</v>
      </c>
      <c r="E31" s="35">
        <v>384599</v>
      </c>
      <c r="F31" s="35">
        <v>345381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-0.68055209112829462</v>
      </c>
      <c r="D32" s="14">
        <f t="shared" si="10"/>
        <v>-0.20433405897486642</v>
      </c>
      <c r="E32" s="14">
        <f t="shared" si="10"/>
        <v>-1.1091939857037221E-3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-139223.57699999999</v>
      </c>
      <c r="D33" s="236">
        <f>IF(E7="","",(D7-E7)*Asset_Model!$D$65)</f>
        <v>29888.3367</v>
      </c>
      <c r="E33" s="236">
        <f>IF(F7="","",(E7-F7)*Asset_Model!$D$65)</f>
        <v>24629.708699999999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-147408.57699999999</v>
      </c>
      <c r="D34" s="140">
        <f>IF(E7="","",D30-E30+D33+IF($C$49="Yes",D51,0))</f>
        <v>25758.3367</v>
      </c>
      <c r="E34" s="140">
        <f t="shared" ref="E34:F34" si="11">IF(F7="","",E30-F30+E33+IF($C$49="Yes",E51,0))</f>
        <v>24602.708699999999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-0.24337739462652658</v>
      </c>
      <c r="D35" s="227">
        <f t="shared" si="19"/>
        <v>2.0096413385574899E-2</v>
      </c>
      <c r="E35" s="227">
        <f t="shared" si="19"/>
        <v>2.227182824336264E-2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440200</v>
      </c>
      <c r="D37" s="162">
        <v>235813</v>
      </c>
      <c r="E37" s="162">
        <v>200000</v>
      </c>
      <c r="F37" s="162">
        <v>320000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6408</v>
      </c>
      <c r="D38" s="161">
        <v>6950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0.1214076914805263</v>
      </c>
      <c r="D39" s="167">
        <f t="shared" si="20"/>
        <v>6.5037510111534191E-2</v>
      </c>
      <c r="E39" s="167">
        <f t="shared" si="20"/>
        <v>5.5160241472297276E-2</v>
      </c>
      <c r="F39" s="167">
        <f t="shared" si="20"/>
        <v>8.8256386355675634E-2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1.7673341367724046E-3</v>
      </c>
      <c r="D40" s="169">
        <f t="shared" si="21"/>
        <v>1.9168183911623302E-3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2.9201973428959085E-4</v>
      </c>
      <c r="D42" s="48">
        <f t="shared" ref="D42:M42" si="22">IF(D29="","",D25/D29)</f>
        <v>6.9364540622659913E-4</v>
      </c>
      <c r="E42" s="48">
        <f t="shared" si="22"/>
        <v>5.0337902226739936E-3</v>
      </c>
      <c r="F42" s="48">
        <f t="shared" si="22"/>
        <v>6.0637632561123082E-3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1.4224483283477238E-3</v>
      </c>
      <c r="D43" s="14">
        <f t="shared" si="23"/>
        <v>2.6180910826688235E-3</v>
      </c>
      <c r="E43" s="14">
        <f t="shared" si="23"/>
        <v>1.2261363997331723E-2</v>
      </c>
      <c r="F43" s="14">
        <f t="shared" si="23"/>
        <v>1.2175736644119502E-2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195.50645577792125</v>
      </c>
      <c r="D44" s="50">
        <f t="shared" si="24"/>
        <v>211.05516219331466</v>
      </c>
      <c r="E44" s="50">
        <f t="shared" si="24"/>
        <v>89.431347150259072</v>
      </c>
      <c r="F44" s="50">
        <f t="shared" si="24"/>
        <v>110.31445226572811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3.4836935076170713E-4</v>
      </c>
      <c r="D45" s="14">
        <f t="shared" si="25"/>
        <v>3.2221873737066391E-4</v>
      </c>
      <c r="E45" s="14">
        <f t="shared" si="25"/>
        <v>3.5214582639301283E-4</v>
      </c>
      <c r="F45" s="14">
        <f t="shared" si="25"/>
        <v>2.4128122323598E-4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5.1484680450215103</v>
      </c>
      <c r="D46" s="51">
        <f t="shared" si="26"/>
        <v>4.9572859898953103</v>
      </c>
      <c r="E46" s="51">
        <f t="shared" si="26"/>
        <v>2.4752032937511697</v>
      </c>
      <c r="F46" s="51">
        <f t="shared" si="26"/>
        <v>2.1469764113115795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2177935</v>
      </c>
      <c r="E3" s="153" t="str">
        <f>IF((C46-I46)=D3,"", "Error!")</f>
        <v/>
      </c>
      <c r="F3" s="6"/>
      <c r="G3" s="6"/>
      <c r="H3" s="258" t="s">
        <v>244</v>
      </c>
      <c r="I3" s="259">
        <v>2177935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0.64987274854789856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443157.89999999991</v>
      </c>
      <c r="E6" s="14">
        <f>1-D6/D3</f>
        <v>0.79652381728563992</v>
      </c>
      <c r="F6" s="6"/>
      <c r="G6" s="6"/>
      <c r="H6" s="3" t="s">
        <v>287</v>
      </c>
      <c r="I6" s="69">
        <f>C26/I26</f>
        <v>5.1484680450215103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0.13223362612461564</v>
      </c>
      <c r="E7" s="49" t="str">
        <f>Dashboard!J4</f>
        <v>HKD</v>
      </c>
      <c r="H7" s="3" t="s">
        <v>288</v>
      </c>
      <c r="I7" s="69">
        <f>C25/I26</f>
        <v>5.1484680450215103</v>
      </c>
      <c r="J7" s="6"/>
      <c r="K7" s="114"/>
    </row>
    <row r="8" spans="1:11" ht="15" customHeight="1">
      <c r="D8" s="6"/>
      <c r="H8" s="3" t="s">
        <v>289</v>
      </c>
      <c r="I8" s="69">
        <f>C24/I26</f>
        <v>3.0388878638089598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325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1564617</v>
      </c>
      <c r="D11" s="65">
        <v>0.6</v>
      </c>
      <c r="E11" s="27">
        <f t="shared" ref="E11:E21" si="0">C11*D11</f>
        <v>938770.2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92</v>
      </c>
      <c r="I12" s="64">
        <v>2462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512403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1086149</v>
      </c>
      <c r="D17" s="65">
        <v>0</v>
      </c>
      <c r="E17" s="27">
        <f t="shared" si="0"/>
        <v>0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0</v>
      </c>
      <c r="D18" s="65">
        <v>0.2</v>
      </c>
      <c r="E18" s="27">
        <f t="shared" si="0"/>
        <v>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1564617</v>
      </c>
      <c r="D24" s="68">
        <f>IF(E24=0,0,E24/C24)</f>
        <v>0.6</v>
      </c>
      <c r="E24" s="27">
        <f>SUM(E11:E14)</f>
        <v>938770.2</v>
      </c>
      <c r="F24" s="6"/>
      <c r="G24" s="6"/>
      <c r="H24" s="66" t="s">
        <v>290</v>
      </c>
      <c r="I24" s="69">
        <f>E24/($I$26-I15)</f>
        <v>381.30389926888705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2650766</v>
      </c>
      <c r="D25" s="68">
        <f>IF(E25=0,0,E25/C25)</f>
        <v>0.35415053610918501</v>
      </c>
      <c r="E25" s="27">
        <f>E24+SUM(E15:E17)</f>
        <v>938770.2</v>
      </c>
      <c r="F25" s="6"/>
      <c r="G25" s="6"/>
      <c r="H25" s="66" t="s">
        <v>294</v>
      </c>
      <c r="I25" s="69">
        <f>E25/$I$26</f>
        <v>1.8233327182853758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2650766</v>
      </c>
      <c r="D26" s="14">
        <f t="shared" ref="D26" si="2">E26/C26</f>
        <v>0.35415053610918501</v>
      </c>
      <c r="E26" s="27">
        <f>SUM(E11:E22)</f>
        <v>938770.2</v>
      </c>
      <c r="H26" s="5" t="s">
        <v>56</v>
      </c>
      <c r="I26" s="64">
        <v>514865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111</v>
      </c>
      <c r="I29" s="64">
        <v>636</v>
      </c>
      <c r="J29" s="6"/>
    </row>
    <row r="30" spans="2:10" ht="15" customHeight="1">
      <c r="B30" s="5" t="s">
        <v>112</v>
      </c>
      <c r="C30" s="64">
        <v>4894</v>
      </c>
      <c r="D30" s="65">
        <v>0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0</v>
      </c>
      <c r="J32" s="6"/>
    </row>
    <row r="33" spans="2:10" ht="14">
      <c r="B33" s="5" t="s">
        <v>117</v>
      </c>
      <c r="C33" s="64">
        <v>2230</v>
      </c>
      <c r="D33" s="65">
        <v>0.2</v>
      </c>
      <c r="E33" s="214">
        <f t="shared" si="3"/>
        <v>446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12027</v>
      </c>
      <c r="D36" s="65">
        <v>0.2</v>
      </c>
      <c r="E36" s="27">
        <f t="shared" si="3"/>
        <v>2405.4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5585</v>
      </c>
      <c r="D38" s="65">
        <v>0</v>
      </c>
      <c r="E38" s="27">
        <f t="shared" si="3"/>
        <v>0</v>
      </c>
      <c r="F38" s="6"/>
      <c r="G38" s="6"/>
    </row>
    <row r="39" spans="2:10" ht="15" customHeight="1">
      <c r="B39" s="5" t="s">
        <v>120</v>
      </c>
      <c r="C39" s="64">
        <v>17934</v>
      </c>
      <c r="D39" s="65">
        <v>0.95</v>
      </c>
      <c r="E39" s="27">
        <f t="shared" si="3"/>
        <v>17037.3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42670</v>
      </c>
      <c r="D42" s="14">
        <f>E42/C42</f>
        <v>0.46610499179751586</v>
      </c>
      <c r="E42" s="27">
        <f>SUM(E28:E40)</f>
        <v>19888.7</v>
      </c>
      <c r="F42" s="6"/>
      <c r="G42" s="6"/>
      <c r="H42" s="5" t="s">
        <v>123</v>
      </c>
      <c r="I42" s="64">
        <v>636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1564617</v>
      </c>
      <c r="D44" s="68">
        <f>IF(E44=0,0,E44/C44)</f>
        <v>0.6</v>
      </c>
      <c r="E44" s="27">
        <f>E24+SUM(E28:E29)</f>
        <v>938770.2</v>
      </c>
      <c r="F44" s="6"/>
      <c r="G44" s="6"/>
      <c r="H44" s="66" t="s">
        <v>291</v>
      </c>
      <c r="I44" s="69">
        <f>E44/(I46-I15-I32)</f>
        <v>303.02459651387989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2657890</v>
      </c>
      <c r="D45" s="68">
        <f>IF(E45=0,0,E45/C45)</f>
        <v>0.35336910105384345</v>
      </c>
      <c r="E45" s="27">
        <f>E44+(E25-E24)+SUM(E30:E33)</f>
        <v>939216.2</v>
      </c>
      <c r="F45" s="6"/>
      <c r="G45" s="6"/>
      <c r="H45" s="66" t="s">
        <v>295</v>
      </c>
      <c r="I45" s="69">
        <f>E45/$I$46</f>
        <v>1.8219483570351949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2693436</v>
      </c>
      <c r="D46" s="14">
        <f>E46/C46</f>
        <v>0.35592414299058894</v>
      </c>
      <c r="E46" s="27">
        <f>E26+E42</f>
        <v>958658.89999999991</v>
      </c>
      <c r="F46" s="6"/>
      <c r="G46" s="6"/>
      <c r="H46" s="5" t="s">
        <v>292</v>
      </c>
      <c r="I46" s="152">
        <f>I26+I42</f>
        <v>515501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3098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3098</v>
      </c>
      <c r="E53" s="434"/>
      <c r="F53" s="5"/>
      <c r="G53" s="5"/>
      <c r="H53" s="3" t="s">
        <v>293</v>
      </c>
      <c r="I53" s="14">
        <f>D53/I3</f>
        <v>1.4224483283477238E-3</v>
      </c>
    </row>
    <row r="54" spans="2:9" ht="14">
      <c r="B54" s="58" t="s">
        <v>129</v>
      </c>
      <c r="C54" s="6"/>
      <c r="D54" s="448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7124</v>
      </c>
      <c r="D58" s="126">
        <f>IF(E58=0,0,E58/C58)</f>
        <v>6.2605277933745082E-2</v>
      </c>
      <c r="E58" s="215">
        <f>E14+E15+(E19*G19)+(E20*G20)+E29+E30+(E31*G31)+(E33*G33)+(E34*G34)+(E35*G35)</f>
        <v>446</v>
      </c>
      <c r="H58" s="6"/>
    </row>
    <row r="59" spans="2:9" ht="14">
      <c r="B59" s="53" t="s">
        <v>89</v>
      </c>
      <c r="C59" s="207">
        <f>C11+C12+C28</f>
        <v>1564617</v>
      </c>
      <c r="D59" s="208">
        <f>IF(E59=0,0,E59/C59)</f>
        <v>0.6</v>
      </c>
      <c r="E59" s="209">
        <f>E11+E12+E28</f>
        <v>938770.2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-208968.02399999998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0.94321249374668759</v>
      </c>
      <c r="E63" s="445"/>
    </row>
    <row r="64" spans="2:9" ht="15" customHeight="1">
      <c r="B64" s="3" t="s">
        <v>250</v>
      </c>
      <c r="D64" s="442">
        <v>0.2001</v>
      </c>
      <c r="E64" s="443"/>
      <c r="F64" s="250" t="s">
        <v>236</v>
      </c>
    </row>
    <row r="65" spans="2:5" ht="15" customHeight="1">
      <c r="B65" s="271" t="s">
        <v>252</v>
      </c>
      <c r="D65" s="442">
        <v>0.2001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C18" sqref="C18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IF(G7="","",EOMONTH(EDATE(E3,12),0))</f>
        <v/>
      </c>
      <c r="H3" s="28"/>
      <c r="I3" s="261" t="str">
        <f>IF(I14="","",EOMONTH(EDATE(G3,12),0))</f>
        <v/>
      </c>
      <c r="J3" s="276"/>
      <c r="L3" s="71" t="s">
        <v>134</v>
      </c>
    </row>
    <row r="4" spans="1:13" ht="15.75" customHeight="1">
      <c r="B4" s="272" t="s">
        <v>332</v>
      </c>
      <c r="C4" s="273">
        <v>554225</v>
      </c>
      <c r="D4" s="244">
        <f>C4/$C$6</f>
        <v>0.91504740960145559</v>
      </c>
      <c r="E4" s="273">
        <f>C4*0.5</f>
        <v>277112.5</v>
      </c>
      <c r="F4" s="244">
        <f>E4/E$6</f>
        <v>0.89976002070231353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333</v>
      </c>
      <c r="C5" s="273">
        <v>51454</v>
      </c>
      <c r="D5" s="244">
        <f>C5/$C$6</f>
        <v>8.4952590398544442E-2</v>
      </c>
      <c r="E5" s="273">
        <f>C5*0.6</f>
        <v>30872.399999999998</v>
      </c>
      <c r="F5" s="244">
        <f>E5/E$6</f>
        <v>0.10023997929768633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5" t="s">
        <v>136</v>
      </c>
      <c r="C6" s="177">
        <f>SUM(C4:C5)</f>
        <v>605679</v>
      </c>
      <c r="D6" s="243"/>
      <c r="E6" s="313">
        <f>SUM(E4:E5)</f>
        <v>307984.90000000002</v>
      </c>
      <c r="F6" s="243"/>
      <c r="G6" s="313"/>
      <c r="H6" s="243"/>
      <c r="I6" s="222"/>
      <c r="J6" s="267"/>
      <c r="K6" s="6"/>
      <c r="L6" s="73"/>
      <c r="M6" s="57"/>
    </row>
    <row r="7" spans="1:13" ht="15.75" customHeight="1">
      <c r="B7" s="17" t="s">
        <v>135</v>
      </c>
      <c r="C7" s="184"/>
      <c r="D7" s="245"/>
      <c r="E7" s="18">
        <f>E6/C6-1</f>
        <v>-0.49150474096014551</v>
      </c>
      <c r="F7" s="245"/>
      <c r="G7" s="72"/>
      <c r="H7" s="245"/>
      <c r="I7" s="72"/>
      <c r="J7" s="303"/>
      <c r="K7" s="6"/>
      <c r="L7" s="73"/>
      <c r="M7" s="57"/>
    </row>
    <row r="8" spans="1:13" ht="15.75" customHeight="1">
      <c r="B8" s="8" t="s">
        <v>137</v>
      </c>
      <c r="C8" s="178">
        <f>Data!C9</f>
        <v>0</v>
      </c>
      <c r="D8" s="246"/>
      <c r="E8" s="221">
        <f>E6*(1-E9)</f>
        <v>0</v>
      </c>
      <c r="F8" s="246"/>
      <c r="G8" s="264" t="str">
        <f>IF(G6="","",G6*(1-G9))</f>
        <v/>
      </c>
      <c r="H8" s="246"/>
      <c r="I8" s="264" t="str">
        <f>IF(I6="","",I6*(1-I9))</f>
        <v/>
      </c>
      <c r="J8" s="304"/>
      <c r="K8" s="6"/>
      <c r="L8" s="114"/>
      <c r="M8" s="1"/>
    </row>
    <row r="9" spans="1:13" ht="15.75" customHeight="1">
      <c r="B9" s="17" t="s">
        <v>46</v>
      </c>
      <c r="C9" s="183">
        <f>(C6-C8)/C6</f>
        <v>1</v>
      </c>
      <c r="D9" s="183"/>
      <c r="E9" s="72">
        <f>C9</f>
        <v>1</v>
      </c>
      <c r="F9" s="183"/>
      <c r="G9" s="72"/>
      <c r="H9" s="183"/>
      <c r="I9" s="72"/>
      <c r="J9" s="305"/>
      <c r="K9" s="6"/>
      <c r="L9" s="73"/>
    </row>
    <row r="10" spans="1:13" ht="15.75" customHeight="1">
      <c r="B10" s="5" t="s">
        <v>138</v>
      </c>
      <c r="C10" s="27">
        <f>C6-C8</f>
        <v>605679</v>
      </c>
      <c r="D10" s="27"/>
      <c r="E10" s="27">
        <f>E6-E8</f>
        <v>307984.90000000002</v>
      </c>
      <c r="F10" s="27"/>
      <c r="G10" s="27" t="str">
        <f>IF(G7="","",G6-G8)</f>
        <v/>
      </c>
      <c r="H10" s="27"/>
      <c r="I10" s="27" t="str">
        <f>IF(I7="","",I6-I8)</f>
        <v/>
      </c>
      <c r="J10" s="230"/>
      <c r="K10" s="6"/>
      <c r="L10" s="73"/>
    </row>
    <row r="11" spans="1:13" ht="15.75" customHeight="1">
      <c r="B11" s="17" t="s">
        <v>48</v>
      </c>
      <c r="C11" s="186">
        <f>C12/C6</f>
        <v>0.33114405485413889</v>
      </c>
      <c r="D11" s="186"/>
      <c r="E11" s="220">
        <f>E12/E6</f>
        <v>0.65122348530723417</v>
      </c>
      <c r="F11" s="186"/>
      <c r="G11" s="65"/>
      <c r="H11" s="186"/>
      <c r="I11" s="65"/>
      <c r="J11" s="306"/>
      <c r="K11" s="6"/>
      <c r="L11" s="73"/>
    </row>
    <row r="12" spans="1:13" ht="15.75" customHeight="1">
      <c r="B12" s="8" t="s">
        <v>139</v>
      </c>
      <c r="C12" s="180">
        <f>123069+18827+58671</f>
        <v>200567</v>
      </c>
      <c r="D12" s="247"/>
      <c r="E12" s="75">
        <f>C12</f>
        <v>200567</v>
      </c>
      <c r="F12" s="247"/>
      <c r="G12" s="75"/>
      <c r="H12" s="247"/>
      <c r="I12" s="75"/>
      <c r="J12" s="307"/>
      <c r="K12" s="6"/>
      <c r="L12" s="73"/>
    </row>
    <row r="13" spans="1:13" ht="15.75" customHeight="1">
      <c r="B13" s="17" t="s">
        <v>49</v>
      </c>
      <c r="C13" s="18">
        <f>C15/C6</f>
        <v>0.66885594514586111</v>
      </c>
      <c r="D13" s="18"/>
      <c r="E13" s="18">
        <f>E15/E6</f>
        <v>0.34877651469276583</v>
      </c>
      <c r="F13" s="18"/>
      <c r="G13" s="18" t="str">
        <f>IF(G7="","",G15/G6)</f>
        <v/>
      </c>
      <c r="H13" s="18"/>
      <c r="I13" s="18" t="str">
        <f>IF(I7="","",I15/I6)</f>
        <v/>
      </c>
      <c r="J13" s="223"/>
      <c r="K13" s="6"/>
      <c r="L13" s="73"/>
      <c r="M13" s="57"/>
    </row>
    <row r="14" spans="1:13" ht="15.75" customHeight="1">
      <c r="B14" s="17" t="s">
        <v>140</v>
      </c>
      <c r="C14" s="185"/>
      <c r="D14" s="248"/>
      <c r="E14" s="14">
        <f>IF(ABS(C15+E15)=ABS(C15)+ABS(E15),IF(E15&lt;0,-1,1)*(E15-C15)/C15,"Turn")</f>
        <v>-0.73484394439068701</v>
      </c>
      <c r="F14" s="248"/>
      <c r="G14" s="14" t="str">
        <f>IF(G7="","",IF(ABS(E15+G15)=ABS(E15)+ABS(G15),IF(G15&lt;0,-1,1)*(G15-E15)/E15,"Turn"))</f>
        <v/>
      </c>
      <c r="H14" s="248"/>
      <c r="I14" s="14" t="str">
        <f>IF(I7="","",IF(ABS(G15+I15)=ABS(G15)+ABS(I15),IF(I15&lt;0,-1,1)*(I15-G15)/G15,"Turn"))</f>
        <v/>
      </c>
      <c r="J14" s="308"/>
      <c r="K14" s="6"/>
      <c r="L14" s="76"/>
      <c r="M14" s="77"/>
    </row>
    <row r="15" spans="1:13" ht="15.75" customHeight="1">
      <c r="B15" s="131" t="s">
        <v>232</v>
      </c>
      <c r="C15" s="295">
        <f>C10-C12</f>
        <v>405112</v>
      </c>
      <c r="D15" s="296"/>
      <c r="E15" s="295">
        <f>E10-E12</f>
        <v>107417.90000000002</v>
      </c>
      <c r="F15" s="296"/>
      <c r="G15" s="295" t="str">
        <f>IF(G7="","",G10-G12)</f>
        <v/>
      </c>
      <c r="H15" s="296"/>
      <c r="I15" s="295" t="str">
        <f>IF(I7="","",I10-I12)</f>
        <v/>
      </c>
      <c r="J15" s="309"/>
      <c r="K15" s="6"/>
      <c r="L15" s="78"/>
      <c r="M15" s="56"/>
    </row>
    <row r="16" spans="1:13" ht="15.75" customHeight="1">
      <c r="B16" s="291" t="s">
        <v>141</v>
      </c>
      <c r="C16" s="292">
        <v>0.25</v>
      </c>
      <c r="D16" s="293"/>
      <c r="E16" s="294">
        <f>IF(E15="","",C16)</f>
        <v>0.25</v>
      </c>
      <c r="F16" s="294"/>
      <c r="G16" s="294" t="str">
        <f>IF(G15="","",E16)</f>
        <v/>
      </c>
      <c r="H16" s="294"/>
      <c r="I16" s="294" t="str">
        <f>IF(I15="","",G16)</f>
        <v/>
      </c>
      <c r="J16" s="310"/>
      <c r="L16" s="73"/>
    </row>
    <row r="17" spans="2:10" ht="15.75" customHeight="1">
      <c r="B17" s="300" t="s">
        <v>284</v>
      </c>
      <c r="C17" s="248">
        <f>C18/C6</f>
        <v>0.50164195885939578</v>
      </c>
      <c r="D17" s="302"/>
      <c r="E17" s="301">
        <f>E18/E6</f>
        <v>0.2615823860195744</v>
      </c>
      <c r="F17" s="301"/>
      <c r="G17" s="301" t="str">
        <f>IF(G8="","",G18/G8)</f>
        <v/>
      </c>
      <c r="H17" s="301"/>
      <c r="I17" s="301" t="str">
        <f>IF(I8="","",I18/I8)</f>
        <v/>
      </c>
      <c r="J17" s="311"/>
    </row>
    <row r="18" spans="2:10" ht="15.75" customHeight="1">
      <c r="B18" s="297" t="s">
        <v>78</v>
      </c>
      <c r="C18" s="298">
        <f>IF(C15&lt;=0,C15,C15*(1-C16))</f>
        <v>303834</v>
      </c>
      <c r="D18" s="298"/>
      <c r="E18" s="299">
        <f>IF(E15="","",IF(E15&lt;=0,E15,E15*(1-E16)))</f>
        <v>80563.425000000017</v>
      </c>
      <c r="F18" s="298"/>
      <c r="G18" s="299" t="str">
        <f>IF(G15="","",IF(G15&lt;=0,G15,G15*(1-G16)))</f>
        <v/>
      </c>
      <c r="H18" s="298"/>
      <c r="I18" s="299" t="str">
        <f>IF(I15="","",IF(I15&lt;=0,I15,I15*(1-I16)))</f>
        <v/>
      </c>
      <c r="J18" s="312"/>
    </row>
    <row r="19" spans="2:10" ht="15.75" customHeight="1"/>
    <row r="20" spans="2:10" ht="15.75" customHeight="1"/>
    <row r="21" spans="2:10" ht="15.75" customHeight="1"/>
    <row r="22" spans="2:10" ht="15.75" customHeight="1"/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</sheetData>
  <phoneticPr fontId="31" type="noConversion"/>
  <conditionalFormatting sqref="E16:E18">
    <cfRule type="containsBlanks" dxfId="6" priority="2">
      <formula>LEN(TRIM(E16))=0</formula>
    </cfRule>
  </conditionalFormatting>
  <conditionalFormatting sqref="G18 I18">
    <cfRule type="containsBlanks" dxfId="5" priority="4">
      <formula>LEN(TRIM(G18))=0</formula>
    </cfRule>
  </conditionalFormatting>
  <conditionalFormatting sqref="G7:H11 H12 G13:H15">
    <cfRule type="containsBlanks" dxfId="4" priority="10">
      <formula>LEN(TRIM(G7))=0</formula>
    </cfRule>
    <cfRule type="containsBlanks" priority="11">
      <formula>LEN(TRIM(G7))=0</formula>
    </cfRule>
  </conditionalFormatting>
  <conditionalFormatting sqref="G7:J18">
    <cfRule type="containsBlanks" dxfId="3" priority="1">
      <formula>LEN(TRIM(G7))=0</formula>
    </cfRule>
  </conditionalFormatting>
  <conditionalFormatting sqref="I7:J15">
    <cfRule type="containsBlanks" dxfId="2" priority="6">
      <formula>LEN(TRIM(I7))=0</formula>
    </cfRule>
    <cfRule type="containsBlanks" priority="7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30" sqref="D30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Operation!C18</f>
        <v>303834</v>
      </c>
      <c r="D4" s="45">
        <f>Operation!E18</f>
        <v>80563.425000000017</v>
      </c>
      <c r="E4" s="45" t="str">
        <f>Operation!G18</f>
        <v/>
      </c>
      <c r="F4" s="198" t="str">
        <f>Operation!I18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-0.7348439443906869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Asset_Model!D65</f>
        <v>0.2001</v>
      </c>
      <c r="D6" s="220">
        <f>C6</f>
        <v>0.2001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60797.183400000002</v>
      </c>
      <c r="D7" s="286">
        <f>D6*D4</f>
        <v>16120.741342500003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243036.81659999999</v>
      </c>
      <c r="D8" s="188">
        <f>D4-D7</f>
        <v>64442.683657500012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6.702984745157213E-2</v>
      </c>
      <c r="D9" s="283">
        <f>D8/(Common_Shares/Data!$C$4)</f>
        <v>1.7773369958352828E-2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1.7773369958352828E-2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1.6456824035511877E-2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938770.2</v>
      </c>
      <c r="D15" s="213">
        <f>C15/(Dashboard!I5/Data!C4)</f>
        <v>0.25891395459498401</v>
      </c>
      <c r="E15" s="84" t="s">
        <v>224</v>
      </c>
      <c r="G15" s="134">
        <f>C15+C16+C17+C18</f>
        <v>936118.2</v>
      </c>
    </row>
    <row r="16" spans="1:10" ht="15.75" customHeight="1">
      <c r="B16" s="58" t="s">
        <v>230</v>
      </c>
      <c r="C16" s="83">
        <f>Asset_Model!E58</f>
        <v>446</v>
      </c>
      <c r="D16" s="213">
        <f>C16/(Dashboard!I5/Data!C4)</f>
        <v>1.2300733848322291E-4</v>
      </c>
      <c r="E16" s="84" t="s">
        <v>306</v>
      </c>
      <c r="G16" s="194">
        <f>(G15+MIN(D4,0))*Data!C$4/Dashboard!I5</f>
        <v>0.25818252979306139</v>
      </c>
    </row>
    <row r="17" spans="2:9" ht="15.75" customHeight="1">
      <c r="B17" s="58" t="s">
        <v>214</v>
      </c>
      <c r="C17" s="83">
        <f>-Asset_Model!D52</f>
        <v>-3098</v>
      </c>
      <c r="D17" s="213">
        <f>C17/(Dashboard!I5/Data!C4)</f>
        <v>-8.5443214040588475E-4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51"/>
      <c r="F18" s="145">
        <f>D15+(MIN(D4,0)*Data!C$4/Dashboard!I5)</f>
        <v>0.25891395459498401</v>
      </c>
      <c r="G18" s="144">
        <f>SUM(D16:D18)</f>
        <v>-7.3142480192266179E-4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 ca="1">IF(G9&lt;0,G9,G9*D22/G11)</f>
        <v>7.6189000164406828E-2</v>
      </c>
      <c r="F22" s="342">
        <f ca="1">E22+$G$16</f>
        <v>0.33437152995746822</v>
      </c>
      <c r="G22" s="345">
        <f ca="1">ROUND(F22*Exchange_Rate,2)</f>
        <v>0.36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 ca="1">IF(G9&lt;0,G9,G9*D23/G11)</f>
        <v>0.12190240026305094</v>
      </c>
      <c r="F23" s="343">
        <f ca="1">E23+$G$16</f>
        <v>0.38008493005611232</v>
      </c>
      <c r="G23" s="348">
        <f ca="1">ROUND(F23*Exchange_Rate,2)</f>
        <v>0.41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 ca="1">MIN(G22,G23)+ABS(G22-G23)*'Qualitative Analysis'!$E$64</f>
        <v>0.37838307823129252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 ca="1">MIN(G24,Asset_Model!D7)+ABS(G24-Asset_Model!D7)*'Qualitative Analysis'!$E$8</f>
        <v>0.17654052750381749</v>
      </c>
      <c r="D27" s="117" t="str">
        <f>Dashboard!J4</f>
        <v>HKD</v>
      </c>
      <c r="E27" s="118">
        <f ca="1">(C27-G16)/C9</f>
        <v>-1.2179947499989283</v>
      </c>
      <c r="F27" s="155">
        <f ca="1">C27/(Data!C28*Exchange_Rate*Data!C4/Common_Shares)</f>
        <v>0.27165399364458143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 ca="1">G24</f>
        <v>0.37838307823129252</v>
      </c>
      <c r="D30" s="334" t="str">
        <f>D27</f>
        <v>HKD</v>
      </c>
      <c r="E30" s="118">
        <f ca="1">(C30-G16)/C9</f>
        <v>1.7932391763993478</v>
      </c>
      <c r="F30" s="155">
        <f ca="1">C30/(Asset_Model!I3*Exchange_Rate*Data!C4/Common_Shares)</f>
        <v>0.58224179899336703</v>
      </c>
      <c r="I30" s="73"/>
    </row>
    <row r="31" spans="2:9" ht="15.75" customHeight="1">
      <c r="B31" s="352" t="s">
        <v>307</v>
      </c>
      <c r="C31" s="350">
        <f ca="1">MIN(C30,C27)+ABS(C30-C27)*'Qualitative Analysis'!E64</f>
        <v>0.25075027551235352</v>
      </c>
      <c r="D31" s="334" t="str">
        <f>D30</f>
        <v>HKD</v>
      </c>
      <c r="E31" s="118">
        <f ca="1">(C31-G16)/C9</f>
        <v>-0.1108797731648956</v>
      </c>
      <c r="F31" s="155">
        <f ca="1">C31/(Asset_Model!I3*Exchange_Rate*Data!C4/Common_Shares)</f>
        <v>0.38584519211282498</v>
      </c>
      <c r="I31" s="73"/>
    </row>
    <row r="32" spans="2:9" ht="15.75" customHeight="1">
      <c r="B32" s="333" t="s">
        <v>315</v>
      </c>
      <c r="C32" s="350">
        <f ca="1">IF(Asset_Model!D7&gt;C27,Asset_Model!D7,C27)/(1+Dashboard!C16)</f>
        <v>0.141232422003054</v>
      </c>
      <c r="D32" s="334" t="str">
        <f>D30</f>
        <v>HKD</v>
      </c>
      <c r="E32" s="118">
        <f ca="1">(C32-G16)/C9</f>
        <v>-1.7447467394954428</v>
      </c>
      <c r="F32" s="155">
        <f ca="1">C32/(Asset_Model!I3*Exchange_Rate*Data!C4/Common_Shares)</f>
        <v>0.21732319491566515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61" sqref="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0</v>
      </c>
      <c r="E3" s="31" t="s">
        <v>170</v>
      </c>
      <c r="G3" s="78" t="s">
        <v>334</v>
      </c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0</v>
      </c>
      <c r="E4" s="31" t="s">
        <v>170</v>
      </c>
      <c r="G4" s="76" t="s">
        <v>335</v>
      </c>
    </row>
    <row r="5" spans="1:7" ht="14">
      <c r="B5" s="6" t="s">
        <v>258</v>
      </c>
      <c r="C5" s="94"/>
      <c r="D5" s="92">
        <f>AVERAGE(D12:D16)</f>
        <v>1.4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259</v>
      </c>
      <c r="C6" s="94"/>
      <c r="D6" s="92">
        <f>AVERAGE(D24:D28)</f>
        <v>1.2</v>
      </c>
      <c r="E6" s="100" t="str">
        <f>IF(D6&gt;=3.5,"Strongly agree",IF(D6&gt;=2.5,"agree",IF(D6&gt;=1.5,"unclear",IF(D6&gt;=0.5,"disagree","Strongly disagree"))))</f>
        <v>disagree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1</v>
      </c>
      <c r="E7" s="99" t="str">
        <f>IF(D64&gt;=3.5,"Strongly agree",IF(D64&gt;=2.5,"agree",IF(D64&gt;=1.5,"unclear",IF(D64&gt;=0.5,"disagree","Strongly disagree"))))</f>
        <v>disagree</v>
      </c>
      <c r="G7" s="78"/>
    </row>
    <row r="8" spans="1:7" ht="14">
      <c r="B8" s="95" t="s">
        <v>149</v>
      </c>
      <c r="C8" s="94"/>
      <c r="D8" s="92">
        <f>AVERAGE(D3:D7)</f>
        <v>0.72</v>
      </c>
      <c r="E8" s="96">
        <f>D8/4</f>
        <v>0.18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1</v>
      </c>
      <c r="E13" s="31" t="s">
        <v>155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2</v>
      </c>
      <c r="E20" s="31" t="s">
        <v>147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1</v>
      </c>
      <c r="E26" s="31" t="s">
        <v>155</v>
      </c>
      <c r="F26" s="6"/>
      <c r="G26" s="274"/>
    </row>
    <row r="27" spans="2:7" ht="15" customHeight="1">
      <c r="B27" s="53" t="s">
        <v>265</v>
      </c>
      <c r="D27" s="98">
        <f t="shared" si="2"/>
        <v>0</v>
      </c>
      <c r="E27" s="31" t="s">
        <v>170</v>
      </c>
      <c r="F27" s="6"/>
      <c r="G27" s="274"/>
    </row>
    <row r="28" spans="2:7" ht="15" customHeight="1">
      <c r="B28" s="53" t="s">
        <v>166</v>
      </c>
      <c r="D28" s="98">
        <f t="shared" si="2"/>
        <v>0</v>
      </c>
      <c r="E28" s="31" t="s">
        <v>170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0.7</v>
      </c>
      <c r="E30" s="49" t="str">
        <f>IF(D30&gt;80%,"Very High",IF(D30&lt;=20%,"Very Low",IF(D30&lt;=40%,"Low",IF(D30&lt;=60%,"Medium","High"))))</f>
        <v>High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3</v>
      </c>
      <c r="E33" s="31" t="s">
        <v>148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4</v>
      </c>
      <c r="E35" s="31" t="s">
        <v>157</v>
      </c>
      <c r="G35" s="274"/>
    </row>
    <row r="36" spans="2:7" ht="15" customHeight="1">
      <c r="B36" s="1" t="s">
        <v>171</v>
      </c>
      <c r="D36" s="101">
        <f>SUM(D37:D41)/(5*4)</f>
        <v>0.45</v>
      </c>
      <c r="E36" s="49" t="str">
        <f>IF(D36&gt;80%,"Very High",IF(D36&lt;=20%,"Very Low",IF(D36&lt;=40%,"Low",IF(D36&lt;=60%,"Medium","High"))))</f>
        <v>Medium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1</v>
      </c>
      <c r="E38" s="31" t="s">
        <v>155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4</v>
      </c>
      <c r="E41" s="31" t="s">
        <v>157</v>
      </c>
      <c r="G41" s="274"/>
    </row>
    <row r="42" spans="2:7" ht="15" customHeight="1">
      <c r="B42" s="1" t="s">
        <v>173</v>
      </c>
      <c r="D42" s="101">
        <f>SUM(D43:D48)/(6*4)</f>
        <v>0.79166666666666663</v>
      </c>
      <c r="E42" s="49" t="str">
        <f>IF(D42&gt;80%,"Very High",IF(D42&lt;=20%,"Very Low",IF(D42&lt;=40%,"Low",IF(D42&lt;=60%,"Medium","High"))))</f>
        <v>High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1</v>
      </c>
      <c r="E43" s="31" t="s">
        <v>155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4</v>
      </c>
      <c r="E46" s="31" t="s">
        <v>157</v>
      </c>
      <c r="F46" s="6"/>
      <c r="G46" s="274"/>
    </row>
    <row r="47" spans="2:7" ht="15" customHeight="1">
      <c r="B47" s="53" t="s">
        <v>178</v>
      </c>
      <c r="D47" s="98">
        <f t="shared" si="5"/>
        <v>4</v>
      </c>
      <c r="E47" s="31" t="s">
        <v>157</v>
      </c>
      <c r="F47" s="6"/>
      <c r="G47" s="274"/>
    </row>
    <row r="48" spans="2:7" ht="15" customHeight="1">
      <c r="B48" s="53" t="s">
        <v>204</v>
      </c>
      <c r="D48" s="98">
        <f t="shared" si="5"/>
        <v>2</v>
      </c>
      <c r="E48" s="31" t="s">
        <v>147</v>
      </c>
      <c r="F48" s="6"/>
      <c r="G48" s="274"/>
    </row>
    <row r="49" spans="2:8" ht="15" customHeight="1">
      <c r="B49" s="1" t="s">
        <v>179</v>
      </c>
      <c r="D49" s="101">
        <f>SUM(D50:D54)/(5*4)</f>
        <v>0.45510204081632655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3.1020408163265305</v>
      </c>
      <c r="E54" s="31" t="s">
        <v>336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0.75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4</v>
      </c>
      <c r="E56" s="31" t="s">
        <v>157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2</v>
      </c>
      <c r="E59" s="31" t="s">
        <v>147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2</v>
      </c>
      <c r="E60" s="31" t="s">
        <v>147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2</v>
      </c>
      <c r="E61" s="31" t="s">
        <v>337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0.37064625850340138</v>
      </c>
      <c r="E62" s="49" t="str">
        <f>IF(D62&gt;80%,"Very Low",IF(D62&lt;=20%,"Very High",IF(D62&lt;=40%,"High",IF(D62&lt;=60%,"Medium","Low"))))</f>
        <v>High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1.4706462585034015</v>
      </c>
      <c r="E64" s="123">
        <f>AVERAGE(AVERAGE(D12:D16)/4,AVERAGE(D18:D22)/4,AVERAGE(D24:D28)/4,D62)</f>
        <v>0.36766156462585037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2023-07-06T07:02:11Z</dcterms:modified>
  <cp:category/>
  <cp:contentStatus/>
</cp:coreProperties>
</file>