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7DBE359F-A704-429A-8671-E921A80572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1" l="1"/>
  <c r="C35" i="1"/>
  <c r="C6" i="4"/>
  <c r="C7" i="4" s="1"/>
  <c r="C30" i="4"/>
  <c r="C10" i="7"/>
  <c r="C14" i="7"/>
  <c r="E7" i="7"/>
  <c r="E6" i="7"/>
  <c r="E5" i="7"/>
  <c r="E4" i="7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<sst xmlns="http://schemas.openxmlformats.org/spreadsheetml/2006/main" count="413" uniqueCount="344">
  <si>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</si>
  <si>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</si>
  <si>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</si>
  <si>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</si>
  <si>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</si>
  <si>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</si>
  <si>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</si>
  <si>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</si>
  <si>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</si>
  <si>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</si>
  <si>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</si>
  <si>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</si>
  <si>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</si>
  <si>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</si>
  <si>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</si>
  <si>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</si>
  <si>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</si>
  <si>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</si>
  <si>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</si>
  <si>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</si>
  <si>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</si>
  <si>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</si>
  <si>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</si>
  <si>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</si>
  <si>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</si>
  <si>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</si>
  <si>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</si>
  <si>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</si>
  <si>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</si>
  <si>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</si>
  <si>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</si>
  <si>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</si>
  <si>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</si>
  <si>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</si>
  <si>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</si>
  <si>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</si>
  <si>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</si>
  <si>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</si>
  <si>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</si>
  <si>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</si>
  <si>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</si>
  <si>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</si>
  <si>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</si>
  <si>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</si>
  <si>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</si>
  <si>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</si>
  <si>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</si>
  <si>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</si>
  <si>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</si>
  <si>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</si>
  <si>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</si>
  <si>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</si>
  <si>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</si>
  <si>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</si>
  <si>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</si>
  <si>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</si>
  <si>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</si>
  <si>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</si>
  <si>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</si>
  <si>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</si>
  <si>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</si>
  <si>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</si>
  <si>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</si>
  <si>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</si>
  <si>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</si>
  <si>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</si>
  <si>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</si>
  <si>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</si>
  <si>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</si>
  <si>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</si>
  <si>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</si>
  <si>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</si>
  <si>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</si>
  <si>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</si>
  <si>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</si>
  <si>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</si>
  <si>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</si>
  <si>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</si>
  <si>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</si>
  <si>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</si>
  <si>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</si>
  <si>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</si>
  <si>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</si>
  <si>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</si>
  <si>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</si>
  <si>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</si>
  <si>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</si>
  <si>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</si>
  <si>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</si>
  <si>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</si>
  <si>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</si>
  <si>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</si>
  <si>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</si>
  <si>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</si>
  <si>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</si>
  <si>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</si>
  <si>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</si>
  <si>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</si>
  <si>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</si>
  <si>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</si>
  <si>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</si>
  <si>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</si>
  <si>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</si>
  <si>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</si>
  <si>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</si>
  <si>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</si>
  <si>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</si>
  <si>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</si>
  <si>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</si>
  <si>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</si>
  <si>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</si>
  <si>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</si>
  <si>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</si>
  <si>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</si>
  <si>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</si>
  <si>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</si>
  <si>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</si>
  <si>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</si>
  <si>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</si>
  <si>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</si>
  <si>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</si>
  <si>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</si>
  <si>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</si>
  <si>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</si>
  <si>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</si>
  <si>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</si>
  <si>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</si>
  <si>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</si>
  <si>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</si>
  <si>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</si>
  <si>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</si>
  <si>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</si>
  <si>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</si>
  <si>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</si>
  <si>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</si>
  <si>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</si>
  <si>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</si>
  <si>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</si>
  <si>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</si>
  <si>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</si>
  <si>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</si>
  <si>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</si>
  <si>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</si>
  <si>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</si>
  <si>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</si>
  <si>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</si>
  <si>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</si>
  <si>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</si>
  <si>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</si>
  <si>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</si>
  <si>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</si>
  <si>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</si>
  <si>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</si>
  <si>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</si>
  <si>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</si>
  <si>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</si>
  <si>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</si>
  <si>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</si>
  <si>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</si>
  <si>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</si>
  <si>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</si>
  <si>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</si>
  <si>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</si>
  <si>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</si>
  <si>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</si>
  <si>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</si>
  <si>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</si>
  <si>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</si>
  <si>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</si>
  <si>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</si>
  <si>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</si>
  <si>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</si>
  <si>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</si>
  <si>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</si>
  <si>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</si>
  <si>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</si>
  <si>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</si>
  <si>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</si>
  <si>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</si>
  <si>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</si>
  <si>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</si>
  <si>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</si>
  <si>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</si>
  <si>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</si>
  <si>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</si>
  <si>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</si>
  <si>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</si>
  <si>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</si>
  <si>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</si>
  <si>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</si>
  <si>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</si>
  <si>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</si>
  <si>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</si>
  <si>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</si>
  <si>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</si>
  <si>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</si>
  <si>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</si>
  <si>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</si>
  <si>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</si>
  <si>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</si>
  <si>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</si>
  <si>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</si>
  <si>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</si>
  <si>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</si>
  <si>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</si>
  <si>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</si>
  <si>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</si>
  <si>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</si>
  <si>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</si>
  <si>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</si>
  <si>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</si>
  <si>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</si>
  <si>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</si>
  <si>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</si>
  <si>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</si>
  <si>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</si>
  <si>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</si>
  <si>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</si>
  <si>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</si>
  <si>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</si>
  <si>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</si>
  <si>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</si>
  <si>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</si>
  <si>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</si>
  <si>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</si>
  <si>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</si>
  <si>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</si>
  <si>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</si>
  <si>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</si>
  <si>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</si>
  <si>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</si>
  <si>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</si>
  <si>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</si>
  <si>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</si>
  <si>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</si>
  <si>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</si>
  <si>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</si>
  <si>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</si>
  <si>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</si>
  <si>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</si>
  <si>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</si>
  <si>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</si>
  <si>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</si>
  <si>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</si>
  <si>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</si>
  <si>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</si>
  <si>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</si>
  <si>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</si>
  <si>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</si>
  <si>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</si>
  <si>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</si>
  <si>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</si>
  <si>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</si>
  <si>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</si>
  <si>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</si>
  <si>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</si>
  <si>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</si>
  <si>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</si>
  <si>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</si>
  <si>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</si>
  <si>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</si>
  <si>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</si>
  <si>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</si>
  <si>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</si>
  <si>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</si>
  <si>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</si>
  <si>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</si>
  <si>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</si>
  <si>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</si>
  <si>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</si>
  <si>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</si>
  <si>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</si>
  <si>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</si>
  <si>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</si>
  <si>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</si>
  <si>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</si>
  <si>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</si>
  <si>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</si>
  <si>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</si>
  <si>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</si>
  <si>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</si>
  <si>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</si>
  <si>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</si>
  <si>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</si>
  <si>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</si>
  <si>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</si>
  <si>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</si>
  <si>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</si>
  <si>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</si>
  <si>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</si>
  <si>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</si>
  <si>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</si>
  <si>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</si>
  <si>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</si>
  <si>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</si>
  <si>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</si>
  <si>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</si>
  <si>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</si>
  <si>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</si>
  <si>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</si>
  <si>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</si>
  <si>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</si>
  <si>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</si>
  <si>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</si>
  <si>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</si>
  <si>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</si>
  <si>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</si>
  <si>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</si>
  <si>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</si>
  <si>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</si>
  <si>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</si>
  <si>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</si>
  <si>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</si>
  <si>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</si>
  <si>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</si>
  <si>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</si>
  <si>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</si>
  <si>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</si>
  <si>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</si>
  <si>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</si>
  <si>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</si>
  <si>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</si>
  <si>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</si>
  <si>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</si>
  <si>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</si>
  <si>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</si>
  <si>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</si>
  <si>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</si>
  <si>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</si>
  <si>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</si>
  <si>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</si>
  <si>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</si>
  <si>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</si>
  <si>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</si>
  <si>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</si>
  <si>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</si>
  <si>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</si>
  <si>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</si>
  <si>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</si>
  <si>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</si>
  <si>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a) Don't buy a mediocre value stock with low trading volume and mediocre dividend</t>
  </si>
  <si>
    <t>b) It's far better to buy a wonderful company at a fair price than a fair company at a wonderful price, but it takes more efforts on research</t>
  </si>
  <si>
    <t>a) Don't buy a High growth company with unproven products or products you don't trust</t>
  </si>
  <si>
    <t>b) Don't buy into unsustainable PE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</si>
</sst>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24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8" zoomScaleNormal="100" workbookViewId="0">
      <selection activeCell="B54" sqref="B54:G6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322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323</v>
      </c>
      <c r="D4" s="414"/>
      <c r="E4" s="6"/>
      <c r="G4" s="5" t="s">
        <v>5</v>
      </c>
      <c r="I4" s="32">
        <v>1.62</v>
      </c>
      <c r="J4" s="33" t="s">
        <v>6</v>
      </c>
      <c r="K4" s="149"/>
    </row>
    <row r="5" spans="1:12" ht="15.75" customHeight="1">
      <c r="B5" s="5" t="s">
        <v>7</v>
      </c>
      <c r="C5" s="415">
        <v>44931</v>
      </c>
      <c r="D5" s="414"/>
      <c r="E5" s="120" t="str">
        <f ca="1">IF(C5+30&gt;=TODAY(),"Patience Premium","")</f>
        <v/>
      </c>
      <c r="G5" s="5" t="s">
        <v>8</v>
      </c>
      <c r="I5" s="383">
        <v>1333330048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2159.9946777600003</v>
      </c>
      <c r="J6" s="424"/>
      <c r="K6" s="148"/>
    </row>
    <row r="7" spans="1:12" ht="15.75" customHeight="1">
      <c r="B7" s="136" t="s">
        <v>10</v>
      </c>
      <c r="C7" s="142">
        <f>(Data!C39*Exchange_Rate)/I4</f>
        <v>4.8433631346891728E-2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30.663368104885624</v>
      </c>
      <c r="J9" s="48">
        <f>IF(I9="NNI","NNI",1/I9)</f>
        <v>3.2612203479391068E-2</v>
      </c>
    </row>
    <row r="10" spans="1:12" ht="15.75" customHeight="1">
      <c r="B10" s="3" t="s">
        <v>255</v>
      </c>
      <c r="C10" s="279" t="s">
        <v>326</v>
      </c>
      <c r="D10" s="279">
        <v>2.8999999999999998E-2</v>
      </c>
      <c r="E10" s="5"/>
      <c r="G10" s="5" t="s">
        <v>14</v>
      </c>
      <c r="I10" s="135">
        <f>I4/(Data!C28*I12*Data!C4/Common_Shares)</f>
        <v>0.70390131728092942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324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1.0882463455200195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>'FCFF Model'!C27</f>
        <v>1.7024820151580062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1.62</v>
      </c>
      <c r="C16" s="404">
        <v>0.25</v>
      </c>
      <c r="D16" s="156">
        <f>I35/B16-(1+J25)</f>
        <v>-5.016626295113924E-2</v>
      </c>
      <c r="E16" s="395" t="s">
        <v>23</v>
      </c>
      <c r="F16" s="425">
        <f>('FCFF Model'!G16)*Exchange_Rate</f>
        <v>1.9002841663837244</v>
      </c>
      <c r="G16" s="395" t="s">
        <v>24</v>
      </c>
      <c r="H16" s="355">
        <f>B16-$F$16</f>
        <v>-0.28028416638372433</v>
      </c>
      <c r="I16" s="390">
        <v>2.5100000000000001E-2</v>
      </c>
      <c r="J16" s="158">
        <f>I16/B16</f>
        <v>1.5493827160493827E-2</v>
      </c>
    </row>
    <row r="17" spans="1:10" ht="15.75" customHeight="1">
      <c r="B17" s="269">
        <f>(I35+I36)/2</f>
        <v>1.6123581330727796</v>
      </c>
      <c r="C17" s="405"/>
      <c r="D17" s="268">
        <f>I35/B17-(1+J25)</f>
        <v>-4.4716557810129398E-2</v>
      </c>
      <c r="E17" s="396"/>
      <c r="F17" s="426"/>
      <c r="G17" s="396"/>
      <c r="H17" s="356">
        <f>B17-$F$16</f>
        <v>-0.2879260333109448</v>
      </c>
      <c r="I17" s="391"/>
      <c r="J17" s="159">
        <f>I16/B17</f>
        <v>1.5567261072554172E-2</v>
      </c>
    </row>
    <row r="18" spans="1:10" ht="15.75" customHeight="1">
      <c r="B18" s="323">
        <f>C35</f>
        <v>1.37</v>
      </c>
      <c r="C18" s="406"/>
      <c r="D18" s="157">
        <f>I35/B18-(1+J25)</f>
        <v>0.15965741169281333</v>
      </c>
      <c r="E18" s="397"/>
      <c r="F18" s="427"/>
      <c r="G18" s="397"/>
      <c r="H18" s="357">
        <f>B18-$F$16</f>
        <v>-0.53028416638372433</v>
      </c>
      <c r="I18" s="392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327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328</v>
      </c>
      <c r="D22" s="364"/>
      <c r="E22" s="364"/>
      <c r="F22" s="364"/>
      <c r="G22" s="380" t="s">
        <v>329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330</v>
      </c>
      <c r="D23" s="394"/>
      <c r="E23" s="394"/>
      <c r="F23" s="394"/>
      <c r="G23" s="393" t="s">
        <v>331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339</v>
      </c>
      <c r="I25" s="30"/>
      <c r="J25" s="359">
        <v>0.2</v>
      </c>
    </row>
    <row r="26" spans="1:10" ht="15.75" customHeight="1">
      <c r="B26" s="23" t="s">
        <v>31</v>
      </c>
      <c r="C26" s="416">
        <v>44932</v>
      </c>
      <c r="D26" s="417"/>
      <c r="E26" s="401" t="str">
        <f>IF(C26="","","Action_Planning")</f>
        <v>Action_Planning</v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0.15509090909090908</v>
      </c>
      <c r="D27" s="375"/>
      <c r="E27" s="388">
        <f>E31/D25</f>
        <v>0.12454545454545454</v>
      </c>
      <c r="F27" s="375"/>
      <c r="G27" s="399">
        <f>G31/D25</f>
        <v>0</v>
      </c>
      <c r="H27" s="400"/>
      <c r="I27" s="398">
        <f>C27+E27+G27</f>
        <v>0.27963636363636363</v>
      </c>
      <c r="J27" s="398"/>
    </row>
    <row r="28" spans="1:10" ht="15.75" customHeight="1">
      <c r="B28" s="23" t="s">
        <v>34</v>
      </c>
      <c r="C28" s="363">
        <v>60000</v>
      </c>
      <c r="D28" s="364"/>
      <c r="E28" s="363">
        <v>60000</v>
      </c>
      <c r="F28" s="364"/>
      <c r="G28" s="383"/>
      <c r="H28" s="384"/>
      <c r="I28" s="377">
        <f>C28+E28+G28</f>
        <v>120000</v>
      </c>
      <c r="J28" s="377"/>
    </row>
    <row r="29" spans="1:10" ht="15.75" customHeight="1">
      <c r="B29" s="23" t="s">
        <v>35</v>
      </c>
      <c r="C29" s="365">
        <v>1.706</v>
      </c>
      <c r="D29" s="364"/>
      <c r="E29" s="365">
        <v>1.37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2274.6610618879999</v>
      </c>
      <c r="D30" s="362"/>
      <c r="E30" s="361">
        <f>E29*$I$5/1000000</f>
        <v>1826.6621657600003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102360</v>
      </c>
      <c r="D31" s="371"/>
      <c r="E31" s="372">
        <f>E28*E29</f>
        <v>82200</v>
      </c>
      <c r="F31" s="373"/>
      <c r="G31" s="409">
        <f>G28*G29</f>
        <v>0</v>
      </c>
      <c r="H31" s="410"/>
      <c r="I31" s="372">
        <f>C31+E31+G31</f>
        <v>184560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1.538</v>
      </c>
      <c r="F32" s="375"/>
      <c r="G32" s="115"/>
      <c r="H32" s="115"/>
      <c r="I32" s="374">
        <f>IF(I31=0,"",I31/I28)</f>
        <v>1.538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2050.6616138240001</v>
      </c>
      <c r="F33" s="362"/>
      <c r="G33" s="116"/>
      <c r="H33" s="116"/>
      <c r="I33" s="361">
        <f>IF(I32="","",I32*$I$5/1000000)</f>
        <v>2050.6616138240001</v>
      </c>
      <c r="J33" s="361"/>
    </row>
    <row r="34" spans="2:11" ht="15.75" customHeight="1"/>
    <row r="35" spans="2:11" ht="15.75" customHeight="1">
      <c r="B35" s="143" t="s">
        <v>286</v>
      </c>
      <c r="C35" s="434">
        <f>IF(C26="",C29,E29)</f>
        <v>1.37</v>
      </c>
      <c r="D35" s="435"/>
      <c r="G35" s="436" t="s">
        <v>316</v>
      </c>
      <c r="H35" s="437"/>
      <c r="I35" s="432">
        <f>'FCFF Model'!C31</f>
        <v>1.8627306540191544</v>
      </c>
      <c r="J35" s="433"/>
    </row>
    <row r="36" spans="2:11" ht="15.75" customHeight="1">
      <c r="B36" s="143" t="s">
        <v>317</v>
      </c>
      <c r="C36" s="434">
        <f>IF(C26="",C29,E32)</f>
        <v>1.538</v>
      </c>
      <c r="D36" s="435"/>
      <c r="G36" s="431" t="s">
        <v>314</v>
      </c>
      <c r="H36" s="431"/>
      <c r="I36" s="432">
        <f>'FCFF Model'!C32</f>
        <v>1.3619856121264049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>I35/C29-1</f>
        <v>9.1870254407476315E-2</v>
      </c>
      <c r="F45" s="332">
        <f>I35/C36-1</f>
        <v>0.21113826659242796</v>
      </c>
    </row>
    <row r="46" spans="2:11" ht="15.75" customHeight="1">
      <c r="B46" s="3" t="s">
        <v>300</v>
      </c>
      <c r="E46" s="329">
        <f>I36/C29-1</f>
        <v>-0.20164969980867242</v>
      </c>
      <c r="F46" s="332">
        <f>I36/C36-1</f>
        <v>-0.11444368522340387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0.56804712515577571</v>
      </c>
      <c r="F48" s="329">
        <f>IF(F45&lt;=0,0,AVERAGE(F39:F41,1-F42,F45/J25))</f>
        <v>0.68731513734072736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0.45559331104704781</v>
      </c>
      <c r="F49" s="328">
        <f>IF(F46&gt;=0,100,F45/ABS(F46))</f>
        <v>1.844909714155639</v>
      </c>
      <c r="G49" s="73"/>
    </row>
    <row r="50" spans="2:9" ht="15.75" customHeight="1">
      <c r="B50" s="3" t="s">
        <v>338</v>
      </c>
      <c r="E50" s="358">
        <f>MAX(J25*2/E45,1)</f>
        <v>4.3539663907521344</v>
      </c>
      <c r="F50" s="358">
        <f>MAX(J25*2/F45,1)</f>
        <v>1.8944931511261407</v>
      </c>
      <c r="G50" s="330"/>
      <c r="H50" s="84"/>
      <c r="I50" s="84"/>
    </row>
    <row r="51" spans="2:9" ht="15.75" customHeight="1">
      <c r="B51" s="3" t="s">
        <v>337</v>
      </c>
      <c r="E51" s="327">
        <f>MIN(MAX(E48-ABS((1-E48)/E49),0)/E50,H51)</f>
        <v>0</v>
      </c>
      <c r="F51" s="327">
        <f>MIN(MAX(F48-ABS((1-F48)/F49),0)/F50,H51)</f>
        <v>0.27333429676139165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453" t="s">
        <v>309</v>
      </c>
    </row>
    <row r="55" spans="2:9" ht="15.75" customHeight="1">
      <c r="B55" s="3" t="s">
        <v>340</v>
      </c>
    </row>
    <row r="56" spans="2:9" ht="15.75" customHeight="1">
      <c r="B56" s="3" t="s">
        <v>341</v>
      </c>
    </row>
    <row r="57" spans="2:9" ht="15.75" customHeight="1"/>
    <row r="58" spans="2:9" ht="15.75" customHeight="1">
      <c r="B58" s="453" t="s">
        <v>310</v>
      </c>
    </row>
    <row r="59" spans="2:9" ht="15.75" customHeight="1">
      <c r="B59" s="3" t="s">
        <v>342</v>
      </c>
    </row>
    <row r="60" spans="2:9" ht="15.75" customHeight="1">
      <c r="B60" s="3" t="s">
        <v>343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2.2955032542128126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1.5113389309944614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325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371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-679521.32223999966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332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333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334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335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>MIN(G24,Asset_Model!D7)+ABS(G24-Asset_Model!D7)*'Qualitative Analysis'!$E$8</f>
        <v>1.7024820151580062</v>
      </c>
      <c r="D27" s="117" t="str">
        <f>Dashboard!J4</f>
        <v>HKD</v>
      </c>
      <c r="E27" s="118">
        <f>(C27-G16)/C9</f>
        <v>-171.75927619817344</v>
      </c>
      <c r="F27" s="155">
        <f>C27/(Data!C28*Exchange_Rate*Data!C4/Common_Shares)</f>
        <v>0.73974032908445164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>Asset_Model!I3*Exchange_Rate*Data!C4/Common_Shares*0.9</f>
        <v>2.0659529287915315</v>
      </c>
      <c r="D30" s="334" t="str">
        <f>D27</f>
        <v>HKD</v>
      </c>
      <c r="E30" s="118">
        <f>(C30-G16)/C9</f>
        <v>1256.5940532084148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1.8627306540191544</v>
      </c>
      <c r="D31" s="334" t="str">
        <f>D30</f>
        <v>HKD</v>
      </c>
      <c r="E31" s="118">
        <f>(C31-G16)/C9</f>
        <v>457.97935835176548</v>
      </c>
      <c r="F31" s="155">
        <f>C31/(Asset_Model!I3*Exchange_Rate*Data!C4/Common_Shares)</f>
        <v>0.81146940245045862</v>
      </c>
      <c r="I31" s="73"/>
    </row>
    <row r="32" spans="2:9" ht="15.75" customHeight="1">
      <c r="B32" s="333" t="s">
        <v>314</v>
      </c>
      <c r="C32" s="350">
        <f>IF(Asset_Model!D7&gt;C27,Asset_Model!D7,C27)/(1+Dashboard!C16)</f>
        <v>1.3619856121264049</v>
      </c>
      <c r="D32" s="334" t="str">
        <f>D30</f>
        <v>HKD</v>
      </c>
      <c r="E32" s="118">
        <f>(C32-G16)/C9</f>
        <v>-1509.8283009221816</v>
      </c>
      <c r="F32" s="155">
        <f>C32/(Asset_Model!I3*Exchange_Rate*Data!C4/Common_Shares)</f>
        <v>0.59332767645910611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336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2023-07-24T08:08:29Z</dcterms:modified>
  <cp:category/>
  <cp:contentStatus/>
</cp:coreProperties>
</file>