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2DEEC5C6-35A6-4ACC-A20F-CB263B2BD4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D50" i="3"/>
  <c r="E25" i="3"/>
  <c r="E45" i="3" s="1"/>
  <c r="D24" i="3"/>
  <c r="D44" i="3"/>
  <c r="D49" i="3"/>
  <c r="F17" i="2"/>
  <c r="F45" i="2"/>
  <c r="E45" i="2"/>
  <c r="E17" i="2"/>
  <c r="G18" i="4" l="1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6" i="1" s="1"/>
  <c r="C31" i="4"/>
  <c r="I35" i="1" s="1"/>
  <c r="D18" i="1" s="1"/>
  <c r="E14" i="1"/>
  <c r="E27" i="4"/>
  <c r="F27" i="4"/>
  <c r="D16" i="1" l="1"/>
  <c r="E31" i="4"/>
  <c r="F31" i="4"/>
  <c r="B17" i="1"/>
  <c r="D17" i="1" s="1"/>
  <c r="E46" i="1"/>
  <c r="F46" i="1"/>
  <c r="F32" i="4"/>
  <c r="E32" i="4"/>
  <c r="J17" i="1" l="1"/>
  <c r="H17" i="1"/>
  <c r="F45" i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<sst xmlns="http://schemas.openxmlformats.org/spreadsheetml/2006/main" count="422" uniqueCount="352">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</sst>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zoomScaleNormal="100" workbookViewId="0">
      <selection activeCell="C28" sqref="C28:D2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4" t="s">
        <v>315</v>
      </c>
      <c r="D3" s="375"/>
      <c r="E3" s="15"/>
      <c r="G3" s="7" t="s">
        <v>2</v>
      </c>
      <c r="I3" s="386" t="s">
        <v>3</v>
      </c>
      <c r="J3" s="387"/>
    </row>
    <row r="4" spans="1:12" ht="15.75" customHeight="1">
      <c r="B4" s="5" t="s">
        <v>4</v>
      </c>
      <c r="C4" s="376" t="s">
        <v>316</v>
      </c>
      <c r="D4" s="377"/>
      <c r="E4" s="6"/>
      <c r="G4" s="5" t="s">
        <v>5</v>
      </c>
      <c r="I4" s="32">
        <v>9.26</v>
      </c>
      <c r="J4" s="33" t="s">
        <v>6</v>
      </c>
      <c r="K4" s="149"/>
    </row>
    <row r="5" spans="1:12" ht="15.75" customHeight="1">
      <c r="B5" s="5" t="s">
        <v>7</v>
      </c>
      <c r="C5" s="378">
        <v>44956</v>
      </c>
      <c r="D5" s="377"/>
      <c r="E5" s="120" t="str">
        <f ca="1">IF(C5+30&gt;=TODAY(),"Patience Premium","")</f>
        <v/>
      </c>
      <c r="G5" s="5" t="s">
        <v>8</v>
      </c>
      <c r="I5" s="388">
        <v>8171879936</v>
      </c>
      <c r="J5" s="389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390">
        <f>I4*I5/1000000</f>
        <v>75671.608207359997</v>
      </c>
      <c r="J6" s="391"/>
      <c r="K6" s="148"/>
    </row>
    <row r="7" spans="1:12" ht="15.75" customHeight="1">
      <c r="B7" s="136" t="s">
        <v>10</v>
      </c>
      <c r="C7" s="142">
        <f>(Data!C39*Exchange_Rate)/I4</f>
        <v>4.0354461499378984E-2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13.193789619297428</v>
      </c>
      <c r="J9" s="48">
        <f>IF(I9="NNI","NNI",1/I9)</f>
        <v>7.5793235215558197E-2</v>
      </c>
    </row>
    <row r="10" spans="1:12" ht="15.75" customHeight="1">
      <c r="B10" s="3" t="s">
        <v>256</v>
      </c>
      <c r="C10" s="279" t="s">
        <v>323</v>
      </c>
      <c r="D10" s="279">
        <v>3.6810000000000002E-2</v>
      </c>
      <c r="E10" s="5"/>
      <c r="G10" s="5" t="s">
        <v>14</v>
      </c>
      <c r="I10" s="135">
        <f>I4/(Data!C28*I12*Data!C4/Common_Shares)</f>
        <v>0.47824254817382311</v>
      </c>
      <c r="J10" s="127">
        <f>IF(Asset_Model!D60/'FCFF Model'!C4&lt;0,"Negative EV",Asset_Model!D60/'FCFF Model'!C4)</f>
        <v>2.6045295017915251</v>
      </c>
    </row>
    <row r="11" spans="1:12" ht="15.75" customHeight="1" thickBot="1">
      <c r="B11" s="288" t="s">
        <v>257</v>
      </c>
      <c r="C11" s="405">
        <f ca="1">C12-D10</f>
        <v>2.3189999999999995E-2</v>
      </c>
      <c r="D11" s="406"/>
      <c r="E11" s="13"/>
      <c r="G11" s="5" t="s">
        <v>15</v>
      </c>
      <c r="H11" s="6"/>
      <c r="I11" s="403" t="s">
        <v>6</v>
      </c>
      <c r="J11" s="404"/>
    </row>
    <row r="12" spans="1:12" ht="15.75" customHeight="1" thickTop="1">
      <c r="B12" s="289" t="s">
        <v>143</v>
      </c>
      <c r="C12" s="401">
        <f ca="1">IF(C10="CN",8%,6%)*IF($C$5+30&gt;=TODAY(),1.2,1)</f>
        <v>0.06</v>
      </c>
      <c r="D12" s="402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331</v>
      </c>
      <c r="D14" s="239"/>
      <c r="E14" s="190">
        <f ca="1">'FCFF Model'!C27</f>
        <v>10.735099766534228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324</v>
      </c>
      <c r="J15" s="88" t="s">
        <v>20</v>
      </c>
    </row>
    <row r="16" spans="1:12" ht="15.75" customHeight="1">
      <c r="B16" s="128">
        <f>I4</f>
        <v>9.26</v>
      </c>
      <c r="C16" s="422">
        <v>0.25</v>
      </c>
      <c r="D16" s="156">
        <f ca="1">I35/B16-(1+J25)</f>
        <v>2.0163385610989737E-2</v>
      </c>
      <c r="E16" s="395" t="s">
        <v>23</v>
      </c>
      <c r="F16" s="392">
        <f>('FCFF Model'!G16)*Exchange_Rate</f>
        <v>5.902449981989065</v>
      </c>
      <c r="G16" s="395" t="s">
        <v>24</v>
      </c>
      <c r="H16" s="355">
        <f>B16-$F$16</f>
        <v>3.3575500180109348</v>
      </c>
      <c r="I16" s="413">
        <v>0.42</v>
      </c>
      <c r="J16" s="158">
        <f>I16/B16</f>
        <v>4.5356371490280774E-2</v>
      </c>
    </row>
    <row r="17" spans="1:10" ht="15.75" customHeight="1">
      <c r="B17" s="269">
        <f ca="1">(I35+I36)/2</f>
        <v>10.581367742939435</v>
      </c>
      <c r="C17" s="423"/>
      <c r="D17" s="268">
        <f ca="1">I35/B17-(1+J25)</f>
        <v>-0.13220675953758554</v>
      </c>
      <c r="E17" s="396"/>
      <c r="F17" s="393"/>
      <c r="G17" s="396"/>
      <c r="H17" s="356">
        <f ca="1">B17-$F$16</f>
        <v>4.6789177609503696</v>
      </c>
      <c r="I17" s="414"/>
      <c r="J17" s="159">
        <f ca="1">I16/B17</f>
        <v>3.9692411246197434E-2</v>
      </c>
    </row>
    <row r="18" spans="1:10" ht="15.75" customHeight="1">
      <c r="B18" s="323">
        <f>C35</f>
        <v>9.1999999999999993</v>
      </c>
      <c r="C18" s="424"/>
      <c r="D18" s="157">
        <f ca="1">I35/B18-(1+J25)</f>
        <v>2.8120972908452835E-2</v>
      </c>
      <c r="E18" s="397"/>
      <c r="F18" s="394"/>
      <c r="G18" s="397"/>
      <c r="H18" s="357">
        <f>B18-$F$16</f>
        <v>3.2975500180109343</v>
      </c>
      <c r="I18" s="415"/>
      <c r="J18" s="160">
        <f>I16/B18</f>
        <v>4.5652173913043478E-2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1" t="s">
        <v>318</v>
      </c>
      <c r="D21" s="382"/>
      <c r="E21" s="382"/>
      <c r="F21" s="382"/>
      <c r="G21" s="382"/>
      <c r="H21" s="382"/>
      <c r="I21" s="382"/>
      <c r="J21" s="383"/>
    </row>
    <row r="22" spans="1:10" ht="52.5" customHeight="1">
      <c r="A22" s="6"/>
      <c r="B22" s="24" t="s">
        <v>27</v>
      </c>
      <c r="C22" s="399" t="s">
        <v>319</v>
      </c>
      <c r="D22" s="400"/>
      <c r="E22" s="400"/>
      <c r="F22" s="400"/>
      <c r="G22" s="399" t="s">
        <v>321</v>
      </c>
      <c r="H22" s="399"/>
      <c r="I22" s="400"/>
      <c r="J22" s="400"/>
    </row>
    <row r="23" spans="1:10" ht="52.5" customHeight="1">
      <c r="A23" s="6"/>
      <c r="B23" s="25" t="s">
        <v>28</v>
      </c>
      <c r="C23" s="384" t="s">
        <v>320</v>
      </c>
      <c r="D23" s="385"/>
      <c r="E23" s="385"/>
      <c r="F23" s="385"/>
      <c r="G23" s="384" t="s">
        <v>322</v>
      </c>
      <c r="H23" s="384"/>
      <c r="I23" s="385"/>
      <c r="J23" s="385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59" t="s">
        <v>347</v>
      </c>
      <c r="I25" s="30"/>
      <c r="J25" s="360">
        <v>0.2</v>
      </c>
    </row>
    <row r="26" spans="1:10" ht="15.75" customHeight="1">
      <c r="B26" s="23" t="s">
        <v>31</v>
      </c>
      <c r="C26" s="379">
        <v>44970</v>
      </c>
      <c r="D26" s="380"/>
      <c r="E26" s="419" t="str">
        <f>IF(C26="","","Action_Planning")</f>
        <v>Action_Planning</v>
      </c>
      <c r="F26" s="420"/>
      <c r="G26" s="420"/>
      <c r="H26" s="421"/>
      <c r="I26" s="398" t="s">
        <v>32</v>
      </c>
      <c r="J26" s="398"/>
    </row>
    <row r="27" spans="1:10" ht="15.75" customHeight="1">
      <c r="B27" s="23" t="s">
        <v>33</v>
      </c>
      <c r="C27" s="412">
        <f>C31/D25</f>
        <v>0.14975757575757576</v>
      </c>
      <c r="D27" s="411"/>
      <c r="E27" s="410">
        <f>E31/D25</f>
        <v>0.1393939393939394</v>
      </c>
      <c r="F27" s="411"/>
      <c r="G27" s="417">
        <f>G31/D25</f>
        <v>0</v>
      </c>
      <c r="H27" s="418"/>
      <c r="I27" s="416">
        <f>C27+E27+G27</f>
        <v>0.28915151515151516</v>
      </c>
      <c r="J27" s="416"/>
    </row>
    <row r="28" spans="1:10" ht="15.75" customHeight="1">
      <c r="B28" s="23" t="s">
        <v>34</v>
      </c>
      <c r="C28" s="438">
        <v>10000</v>
      </c>
      <c r="D28" s="400"/>
      <c r="E28" s="438">
        <v>10000</v>
      </c>
      <c r="F28" s="400"/>
      <c r="G28" s="388"/>
      <c r="H28" s="389"/>
      <c r="I28" s="428">
        <f>C28+E28+G28</f>
        <v>20000</v>
      </c>
      <c r="J28" s="428"/>
    </row>
    <row r="29" spans="1:10" ht="15.75" customHeight="1">
      <c r="B29" s="23" t="s">
        <v>35</v>
      </c>
      <c r="C29" s="439">
        <v>9.8840000000000003</v>
      </c>
      <c r="D29" s="400"/>
      <c r="E29" s="439">
        <v>9.1999999999999993</v>
      </c>
      <c r="F29" s="400"/>
      <c r="G29" s="408">
        <v>8.6</v>
      </c>
      <c r="H29" s="409"/>
      <c r="I29" s="407"/>
      <c r="J29" s="407"/>
    </row>
    <row r="30" spans="1:10" ht="15.75" customHeight="1">
      <c r="B30" s="23" t="s">
        <v>36</v>
      </c>
      <c r="C30" s="426">
        <f>C29*$I$5/1000000</f>
        <v>80770.861287423992</v>
      </c>
      <c r="D30" s="434"/>
      <c r="E30" s="426">
        <f>E29*$I$5/1000000</f>
        <v>75181.295411200001</v>
      </c>
      <c r="F30" s="434"/>
      <c r="G30" s="370">
        <f>G29*$I$5/1000000</f>
        <v>70278.167449599991</v>
      </c>
      <c r="H30" s="371"/>
      <c r="I30" s="425"/>
      <c r="J30" s="425"/>
    </row>
    <row r="31" spans="1:10" ht="15.75" customHeight="1">
      <c r="B31" s="2" t="s">
        <v>37</v>
      </c>
      <c r="C31" s="435">
        <f>C28*C29</f>
        <v>98840</v>
      </c>
      <c r="D31" s="436"/>
      <c r="E31" s="427">
        <f>E28*E29</f>
        <v>92000</v>
      </c>
      <c r="F31" s="437"/>
      <c r="G31" s="372">
        <f>G28*G29</f>
        <v>0</v>
      </c>
      <c r="H31" s="373"/>
      <c r="I31" s="427">
        <f>C31+E31+G31</f>
        <v>190840</v>
      </c>
      <c r="J31" s="427"/>
    </row>
    <row r="32" spans="1:10" ht="15.75" customHeight="1">
      <c r="B32" s="1" t="s">
        <v>38</v>
      </c>
      <c r="C32" s="430"/>
      <c r="D32" s="431"/>
      <c r="E32" s="429">
        <f>IF(C31=0,"-",(C31+E31)/(C28+E28))</f>
        <v>9.5419999999999998</v>
      </c>
      <c r="F32" s="411"/>
      <c r="G32" s="115"/>
      <c r="H32" s="115"/>
      <c r="I32" s="429">
        <f>IF(I31=0,"",I31/I28)</f>
        <v>9.5419999999999998</v>
      </c>
      <c r="J32" s="429"/>
    </row>
    <row r="33" spans="2:11" ht="15.75" customHeight="1">
      <c r="B33" s="1" t="s">
        <v>39</v>
      </c>
      <c r="C33" s="432"/>
      <c r="D33" s="433"/>
      <c r="E33" s="426">
        <f>IF(E32="-","-",E32*$I$5/1000000)</f>
        <v>77976.078349311996</v>
      </c>
      <c r="F33" s="434"/>
      <c r="G33" s="116"/>
      <c r="H33" s="116"/>
      <c r="I33" s="426">
        <f>IF(I32="","",I32*$I$5/1000000)</f>
        <v>77976.078349311996</v>
      </c>
      <c r="J33" s="426"/>
    </row>
    <row r="34" spans="2:11" ht="15.75" customHeight="1"/>
    <row r="35" spans="2:11" ht="15.75" customHeight="1">
      <c r="B35" s="143" t="s">
        <v>288</v>
      </c>
      <c r="C35" s="366">
        <f>E29</f>
        <v>9.1999999999999993</v>
      </c>
      <c r="D35" s="367"/>
      <c r="G35" s="363" t="s">
        <v>335</v>
      </c>
      <c r="H35" s="363"/>
      <c r="I35" s="364">
        <f ca="1">'FCFF Model'!C31</f>
        <v>11.298712950757764</v>
      </c>
      <c r="J35" s="365"/>
    </row>
    <row r="36" spans="2:11" ht="15.75" customHeight="1">
      <c r="B36" s="143" t="s">
        <v>336</v>
      </c>
      <c r="C36" s="366">
        <f>E32</f>
        <v>9.5419999999999998</v>
      </c>
      <c r="D36" s="367"/>
      <c r="G36" s="368" t="s">
        <v>333</v>
      </c>
      <c r="H36" s="369"/>
      <c r="I36" s="364">
        <f ca="1">'FCFF Model'!C32</f>
        <v>9.8640225351211033</v>
      </c>
      <c r="J36" s="365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344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338</v>
      </c>
      <c r="F44" s="258" t="s">
        <v>339</v>
      </c>
    </row>
    <row r="45" spans="2:11" ht="15.75" customHeight="1">
      <c r="B45" s="3" t="s">
        <v>303</v>
      </c>
      <c r="E45" s="329">
        <f ca="1">I35/C29-1</f>
        <v>0.14313162188969697</v>
      </c>
      <c r="F45" s="332">
        <f ca="1">I35/C36-1</f>
        <v>0.18410322267425738</v>
      </c>
      <c r="J45" s="361"/>
    </row>
    <row r="46" spans="2:11" ht="15.75" customHeight="1">
      <c r="B46" s="3" t="s">
        <v>304</v>
      </c>
      <c r="E46" s="329">
        <f ca="1">'FCFF Model'!C32/C29-1</f>
        <v>-2.0211923187876124E-3</v>
      </c>
      <c r="F46" s="332">
        <f ca="1">'FCFF Model'!C32/C36-1</f>
        <v>3.3747907684039458E-2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0.61649216610738411</v>
      </c>
      <c r="F48" s="329">
        <f ca="1">IF(F45&lt;=0,0,AVERAGE(F39:F41,1-F42,F45/J25))</f>
        <v>0.65746376689194452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70.815439262876637</v>
      </c>
      <c r="F49" s="328">
        <f ca="1">IF(F46&gt;=0,100,F45/ABS(F46))</f>
        <v>100</v>
      </c>
      <c r="G49" s="73"/>
    </row>
    <row r="50" spans="2:9" ht="15.75" customHeight="1">
      <c r="B50" s="3" t="s">
        <v>345</v>
      </c>
      <c r="E50" s="358">
        <f ca="1">MAX(J25*2/E45,1)</f>
        <v>2.7946305276150385</v>
      </c>
      <c r="F50" s="358">
        <f ca="1">MAX(J25*2/F45,1)</f>
        <v>2.1726941776991002</v>
      </c>
      <c r="G50" s="330"/>
      <c r="H50" s="84"/>
      <c r="I50" s="84"/>
    </row>
    <row r="51" spans="2:9" ht="15.75" customHeight="1">
      <c r="B51" s="3" t="s">
        <v>346</v>
      </c>
      <c r="E51" s="327">
        <f ca="1">MIN(MAX(E48-ABS((1-E48)/E49),0)/E50,H51)</f>
        <v>0.21866095132295929</v>
      </c>
      <c r="F51" s="327">
        <f ca="1">MIN(MAX(F48-ABS((1-F48)/F49),0)/F50,H51)</f>
        <v>0.30102644508096194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62" t="s">
        <v>313</v>
      </c>
    </row>
    <row r="55" spans="2:9" ht="15.75" customHeight="1">
      <c r="B55" s="3" t="s">
        <v>349</v>
      </c>
    </row>
    <row r="56" spans="2:9" ht="15.75" customHeight="1">
      <c r="B56" s="3" t="s">
        <v>348</v>
      </c>
    </row>
    <row r="57" spans="2:9" ht="15.75" customHeight="1"/>
    <row r="58" spans="2:9" ht="15.75" customHeight="1">
      <c r="B58" s="362" t="s">
        <v>314</v>
      </c>
    </row>
    <row r="59" spans="2:9" ht="15.75" customHeight="1">
      <c r="B59" s="3" t="s">
        <v>350</v>
      </c>
    </row>
    <row r="60" spans="2:9" ht="15.75" customHeight="1">
      <c r="B60" s="3" t="s">
        <v>351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5:H35"/>
    <mergeCell ref="I35:J35"/>
    <mergeCell ref="C36:D36"/>
    <mergeCell ref="C35:D35"/>
    <mergeCell ref="I36:J36"/>
    <mergeCell ref="G36:H36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1" zoomScale="80" zoomScaleNormal="80" workbookViewId="0">
      <selection activeCell="D28" sqref="D28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40">
        <f>D53+D54+D55</f>
        <v>6739518.3509999998</v>
      </c>
      <c r="E52" s="441"/>
      <c r="F52" s="53"/>
      <c r="G52" s="53"/>
    </row>
    <row r="53" spans="2:9" ht="14.5" thickTop="1">
      <c r="B53" s="58" t="s">
        <v>222</v>
      </c>
      <c r="C53" s="6"/>
      <c r="D53" s="443">
        <f>SUM(I11:I13)+SUM(I28:I30)</f>
        <v>6739518.3509999998</v>
      </c>
      <c r="E53" s="436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50">
        <v>0</v>
      </c>
      <c r="E54" s="400"/>
      <c r="F54" s="6" t="s">
        <v>130</v>
      </c>
      <c r="G54" s="6"/>
    </row>
    <row r="55" spans="2:9" ht="12.75" customHeight="1">
      <c r="B55" s="58" t="s">
        <v>128</v>
      </c>
      <c r="C55" s="6"/>
      <c r="D55" s="450">
        <v>0</v>
      </c>
      <c r="E55" s="400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2"/>
      <c r="E57" s="442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8">
        <f>((Dashboard!I6*Data!C4)+D52+E50-C58-C59)</f>
        <v>14705600.844359986</v>
      </c>
      <c r="E60" s="449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6">
        <f>((C26-C11-C12-C14-C15-C16*G16-C19*G19-C20*G20)-I26)/Data!C7</f>
        <v>0.5934554144758829</v>
      </c>
      <c r="E63" s="447"/>
    </row>
    <row r="64" spans="2:9" ht="15" customHeight="1">
      <c r="B64" s="3" t="s">
        <v>250</v>
      </c>
      <c r="D64" s="444">
        <v>8.5599999999999996E-2</v>
      </c>
      <c r="E64" s="445"/>
      <c r="F64" s="250" t="s">
        <v>236</v>
      </c>
    </row>
    <row r="65" spans="2:5" ht="15" customHeight="1">
      <c r="B65" s="271" t="s">
        <v>252</v>
      </c>
      <c r="D65" s="444">
        <v>0.15</v>
      </c>
      <c r="E65" s="44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325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326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327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328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329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6" zoomScaleNormal="100" zoomScalePageLayoutView="80" workbookViewId="0">
      <selection activeCell="I31" sqref="I3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3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3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4" t="s">
        <v>220</v>
      </c>
      <c r="F20" s="454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330</v>
      </c>
    </row>
    <row r="24" spans="2:9" ht="15.75" customHeight="1" thickTop="1">
      <c r="C24" s="6"/>
      <c r="D24" s="6"/>
      <c r="E24" s="6"/>
      <c r="F24" s="346" t="s">
        <v>332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334</v>
      </c>
      <c r="C26" s="451" t="s">
        <v>145</v>
      </c>
      <c r="D26" s="452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331</v>
      </c>
      <c r="C27" s="238">
        <f ca="1">MIN(G24,Asset_Model!D7)+ABS(G24-Asset_Model!D7)*'Qualitative Analysis'!$E$8</f>
        <v>10.735099766534228</v>
      </c>
      <c r="D27" s="117" t="str">
        <f>Dashboard!J4</f>
        <v>HKD</v>
      </c>
      <c r="E27" s="118">
        <f ca="1">(C27-G16)/C9</f>
        <v>9.5814436115910357</v>
      </c>
      <c r="F27" s="155">
        <f ca="1">C27/(Data!C28*Exchange_Rate*Data!C4/Common_Shares)</f>
        <v>0.5544256444111817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340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337</v>
      </c>
    </row>
    <row r="31" spans="2:9" ht="15.75" customHeight="1">
      <c r="B31" s="352" t="s">
        <v>311</v>
      </c>
      <c r="C31" s="350">
        <f ca="1">MIN(C30,C27)+ABS(C30-C27)*'Qualitative Analysis'!E64</f>
        <v>11.298712950757764</v>
      </c>
      <c r="D31" s="334" t="str">
        <f>D30</f>
        <v>HKD</v>
      </c>
      <c r="E31" s="118">
        <f ca="1">(C31-G16)/C9</f>
        <v>10.698890185240348</v>
      </c>
      <c r="F31" s="155">
        <f ca="1">C31/(Asset_Model!I3*Exchange_Rate*Data!C4/Common_Shares)</f>
        <v>0.57952420149814499</v>
      </c>
      <c r="I31" s="73"/>
    </row>
    <row r="32" spans="2:9" ht="15.75" customHeight="1">
      <c r="B32" s="333" t="s">
        <v>333</v>
      </c>
      <c r="C32" s="350">
        <f ca="1">IF(Asset_Model!D7&gt;C27,Asset_Model!D7,C27)/(1+Dashboard!C16)</f>
        <v>9.8640225351211033</v>
      </c>
      <c r="D32" s="334" t="str">
        <f>D30</f>
        <v>HKD</v>
      </c>
      <c r="E32" s="118">
        <f ca="1">(C32-G16)/C9</f>
        <v>7.8544040481579875</v>
      </c>
      <c r="F32" s="155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341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342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343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2023-07-24T07:55:15Z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