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8390CC40-1A29-4EE4-A5EE-118E2577F12B}" xr6:coauthVersionLast="47" xr6:coauthVersionMax="47" xr10:uidLastSave="{00000000-0000-0000-0000-000000000000}"/>
  <bookViews>
    <workbookView xWindow="31410" yWindow="2610" windowWidth="21600" windowHeight="1126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27" i="4" s="1"/>
  <c r="C32" i="4" s="1"/>
  <c r="C31" i="4" l="1"/>
  <c r="I35" i="1" s="1"/>
  <c r="E14" i="1"/>
  <c r="E27" i="4"/>
  <c r="F27" i="4"/>
  <c r="D16" i="1" l="1"/>
  <c r="D18" i="1"/>
  <c r="E45" i="1"/>
  <c r="E50" i="1" s="1"/>
  <c r="E31" i="4"/>
  <c r="F31" i="4"/>
  <c r="F45" i="1"/>
  <c r="F48" i="1" s="1"/>
  <c r="F32" i="4"/>
  <c r="E32" i="4"/>
  <c r="I36" i="1"/>
  <c r="B17" i="1" s="1"/>
  <c r="J17" i="1" l="1"/>
  <c r="D17" i="1"/>
  <c r="H17" i="1"/>
  <c r="F46" i="1"/>
  <c r="F49" i="1" s="1"/>
  <c r="E46" i="1"/>
  <c r="E49" i="1" s="1"/>
  <c r="E48" i="1"/>
  <c r="F50" i="1"/>
  <c r="E51" i="1" l="1"/>
  <c r="F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<sst xmlns="http://schemas.openxmlformats.org/spreadsheetml/2006/main" count="411" uniqueCount="342">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</sst>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25" zoomScaleNormal="100" workbookViewId="0">
      <selection activeCell="E51" sqref="E5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324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325</v>
      </c>
      <c r="D4" s="375"/>
      <c r="E4" s="6"/>
      <c r="G4" s="5" t="s">
        <v>5</v>
      </c>
      <c r="I4" s="32">
        <v>1.56</v>
      </c>
      <c r="J4" s="33" t="s">
        <v>6</v>
      </c>
      <c r="K4" s="149"/>
    </row>
    <row r="5" spans="1:12" ht="15.75" customHeight="1">
      <c r="B5" s="5" t="s">
        <v>7</v>
      </c>
      <c r="C5" s="376">
        <v>44931</v>
      </c>
      <c r="D5" s="375"/>
      <c r="E5" s="120" t="str">
        <f ca="1">IF(C5+30&gt;=TODAY(),"Patience Premium","")</f>
        <v/>
      </c>
      <c r="G5" s="5" t="s">
        <v>8</v>
      </c>
      <c r="I5" s="386">
        <v>1333330048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2079.9948748800002</v>
      </c>
      <c r="J6" s="389"/>
      <c r="K6" s="148"/>
    </row>
    <row r="7" spans="1:12" ht="15.75" customHeight="1">
      <c r="B7" s="136" t="s">
        <v>10</v>
      </c>
      <c r="C7" s="142">
        <f>(Data!C39*Exchange_Rate)/I4</f>
        <v>5.013320459323891E-2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29.623844689281196</v>
      </c>
      <c r="J9" s="48">
        <f>IF(I9="NNI","NNI",1/I9)</f>
        <v>3.3756590695394453E-2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0.68003825373600391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326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1.0847139755884807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1.6943159637868739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1.56</v>
      </c>
      <c r="C16" s="420">
        <v>0.25</v>
      </c>
      <c r="D16" s="156">
        <f>I35/B16-(1+J25)</f>
        <v>-1.076388153370722E-2</v>
      </c>
      <c r="E16" s="393" t="s">
        <v>23</v>
      </c>
      <c r="F16" s="390">
        <f>('FCFF Model'!G16)*Exchange_Rate</f>
        <v>1.894115979669065</v>
      </c>
      <c r="G16" s="393" t="s">
        <v>24</v>
      </c>
      <c r="H16" s="355">
        <f>B16-$F$16</f>
        <v>-0.33411597966906492</v>
      </c>
      <c r="I16" s="411">
        <v>2.5100000000000001E-2</v>
      </c>
      <c r="J16" s="158">
        <f>I16/B16</f>
        <v>1.6089743589743591E-2</v>
      </c>
    </row>
    <row r="17" spans="1:10" ht="15.75" customHeight="1">
      <c r="B17" s="269">
        <f>(I35+I36)/2</f>
        <v>1.6053305579184578</v>
      </c>
      <c r="C17" s="421"/>
      <c r="D17" s="268">
        <f>I35/B17-(1+J25)</f>
        <v>-4.4344963312128449E-2</v>
      </c>
      <c r="E17" s="394"/>
      <c r="F17" s="391"/>
      <c r="G17" s="394"/>
      <c r="H17" s="356">
        <f>B17-$F$16</f>
        <v>-0.28878542175060717</v>
      </c>
      <c r="I17" s="412"/>
      <c r="J17" s="159">
        <f>I16/B17</f>
        <v>1.5635409091412155E-2</v>
      </c>
    </row>
    <row r="18" spans="1:10" ht="15.75" customHeight="1">
      <c r="B18" s="323">
        <f>C35</f>
        <v>1.37</v>
      </c>
      <c r="C18" s="422"/>
      <c r="D18" s="157">
        <f>I35/B18-(1+J25)</f>
        <v>0.15416667504190995</v>
      </c>
      <c r="E18" s="395"/>
      <c r="F18" s="392"/>
      <c r="G18" s="395"/>
      <c r="H18" s="357">
        <f>B18-$F$16</f>
        <v>-0.52411597966906487</v>
      </c>
      <c r="I18" s="413"/>
      <c r="J18" s="160">
        <f>I16/B18</f>
        <v>1.8321167883211677E-2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329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330</v>
      </c>
      <c r="D22" s="398"/>
      <c r="E22" s="398"/>
      <c r="F22" s="398"/>
      <c r="G22" s="397" t="s">
        <v>331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332</v>
      </c>
      <c r="D23" s="383"/>
      <c r="E23" s="383"/>
      <c r="F23" s="383"/>
      <c r="G23" s="382" t="s">
        <v>333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341</v>
      </c>
      <c r="I25" s="30"/>
      <c r="J25" s="359">
        <v>0.2</v>
      </c>
    </row>
    <row r="26" spans="1:10" ht="15.75" customHeight="1">
      <c r="B26" s="23" t="s">
        <v>31</v>
      </c>
      <c r="C26" s="377">
        <v>44932</v>
      </c>
      <c r="D26" s="378"/>
      <c r="E26" s="417" t="str">
        <f>IF(C26="","","Action_Planning")</f>
        <v>Action_Planning</v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0.15509090909090908</v>
      </c>
      <c r="D27" s="409"/>
      <c r="E27" s="408">
        <f>E31/D25</f>
        <v>0.12454545454545454</v>
      </c>
      <c r="F27" s="409"/>
      <c r="G27" s="415">
        <f>G31/D25</f>
        <v>0</v>
      </c>
      <c r="H27" s="416"/>
      <c r="I27" s="414">
        <f>C27+E27+G27</f>
        <v>0.27963636363636363</v>
      </c>
      <c r="J27" s="414"/>
    </row>
    <row r="28" spans="1:10" ht="15.75" customHeight="1">
      <c r="B28" s="23" t="s">
        <v>34</v>
      </c>
      <c r="C28" s="436">
        <v>60000</v>
      </c>
      <c r="D28" s="398"/>
      <c r="E28" s="436">
        <v>60000</v>
      </c>
      <c r="F28" s="398"/>
      <c r="G28" s="386"/>
      <c r="H28" s="387"/>
      <c r="I28" s="426">
        <f>C28+E28+G28</f>
        <v>120000</v>
      </c>
      <c r="J28" s="426"/>
    </row>
    <row r="29" spans="1:10" ht="15.75" customHeight="1">
      <c r="B29" s="23" t="s">
        <v>35</v>
      </c>
      <c r="C29" s="437">
        <v>1.706</v>
      </c>
      <c r="D29" s="398"/>
      <c r="E29" s="437">
        <v>1.37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2274.6610618879999</v>
      </c>
      <c r="D30" s="432"/>
      <c r="E30" s="424">
        <f>E29*$I$5/1000000</f>
        <v>1826.6621657600003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102360</v>
      </c>
      <c r="D31" s="434"/>
      <c r="E31" s="425">
        <f>E28*E29</f>
        <v>82200</v>
      </c>
      <c r="F31" s="435"/>
      <c r="G31" s="370">
        <f>G28*G29</f>
        <v>0</v>
      </c>
      <c r="H31" s="371"/>
      <c r="I31" s="425">
        <f>C31+E31+G31</f>
        <v>184560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1.538</v>
      </c>
      <c r="F32" s="409"/>
      <c r="G32" s="115"/>
      <c r="H32" s="115"/>
      <c r="I32" s="427">
        <f>IF(I31=0,"",I31/I28)</f>
        <v>1.538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2050.6616138240001</v>
      </c>
      <c r="F33" s="432"/>
      <c r="G33" s="116"/>
      <c r="H33" s="116"/>
      <c r="I33" s="424">
        <f>IF(I32="","",I32*$I$5/1000000)</f>
        <v>2050.6616138240001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1.37</v>
      </c>
      <c r="D35" s="365"/>
      <c r="G35" s="366" t="s">
        <v>317</v>
      </c>
      <c r="H35" s="367"/>
      <c r="I35" s="362">
        <f>'FCFF Model'!C31</f>
        <v>1.8552083448074166</v>
      </c>
      <c r="J35" s="363"/>
    </row>
    <row r="36" spans="2:11" ht="15.75" customHeight="1">
      <c r="B36" s="143" t="s">
        <v>318</v>
      </c>
      <c r="C36" s="364">
        <f>E32</f>
        <v>1.538</v>
      </c>
      <c r="D36" s="365"/>
      <c r="G36" s="361" t="s">
        <v>315</v>
      </c>
      <c r="H36" s="361"/>
      <c r="I36" s="362">
        <f>'FCFF Model'!C32</f>
        <v>1.355452771029499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8.7460928960971129E-2</v>
      </c>
      <c r="F45" s="332">
        <f>I35/C36-1</f>
        <v>0.2062472983143151</v>
      </c>
    </row>
    <row r="46" spans="2:11" ht="15.75" customHeight="1">
      <c r="B46" s="3" t="s">
        <v>300</v>
      </c>
      <c r="E46" s="329">
        <f>I36/C29-1</f>
        <v>-0.20547903222186459</v>
      </c>
      <c r="F46" s="332">
        <f>I36/C36-1</f>
        <v>-0.11869130622269242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0.56363779970927053</v>
      </c>
      <c r="F48" s="329">
        <f>IF(F45&lt;=0,0,AVERAGE(F39:F41,1-F42,F45/J25))</f>
        <v>0.68242416906261438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0.42564405728043231</v>
      </c>
      <c r="F49" s="328">
        <f>IF(F46&gt;=0,100,F45/ABS(F46))</f>
        <v>1.7376782249522753</v>
      </c>
      <c r="G49" s="73"/>
    </row>
    <row r="50" spans="2:9" ht="15.75" customHeight="1">
      <c r="B50" s="3" t="s">
        <v>340</v>
      </c>
      <c r="E50" s="358">
        <f>MAX(J25*2/E45,1)</f>
        <v>4.5734707457600576</v>
      </c>
      <c r="F50" s="358">
        <f>MAX(J25*2/F45,1)</f>
        <v>1.9394193440071696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0</v>
      </c>
      <c r="F51" s="327">
        <f>MIN(MAX(F48-ABS((1-F48)/F49),0)/F50,H51)</f>
        <v>0.25763662743710097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2.2880522145596025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1.5064332327413166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-759521.12511999998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9" sqref="D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Analysis'!$E$8</f>
        <v>1.6943159637868739</v>
      </c>
      <c r="D27" s="117" t="str">
        <f>Dashboard!J4</f>
        <v>HKD</v>
      </c>
      <c r="E27" s="118">
        <f>(C27-G16)/C9</f>
        <v>-203.84989535517849</v>
      </c>
      <c r="F27" s="155">
        <f>C27/(Data!C28*Exchange_Rate*Data!C4/Common_Shares)</f>
        <v>0.73858953159657703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2.0592469931036423</v>
      </c>
      <c r="D30" s="334" t="str">
        <f>D27</f>
        <v>HKD</v>
      </c>
      <c r="E30" s="118">
        <f>(C30-G16)/C9</f>
        <v>1230.2413377439789</v>
      </c>
      <c r="F30" s="155">
        <f>C30/(Asset_Model!I3*Exchange_Rate*Data!C4/Common_Shares)</f>
        <v>0.9</v>
      </c>
      <c r="I30" s="73"/>
    </row>
    <row r="31" spans="2:9" ht="15.75" customHeight="1">
      <c r="B31" s="352" t="s">
        <v>307</v>
      </c>
      <c r="C31" s="350">
        <f>MIN(C30,C27)+ABS(C30-C27)*'Qualitative Analysis'!E64</f>
        <v>1.8552083448074166</v>
      </c>
      <c r="D31" s="334" t="str">
        <f>D30</f>
        <v>HKD</v>
      </c>
      <c r="E31" s="118">
        <f>(C31-G16)/C9</f>
        <v>428.41849115608983</v>
      </c>
      <c r="F31" s="155">
        <f>C31/(Asset_Model!I3*Exchange_Rate*Data!C4/Common_Shares)</f>
        <v>0.81082430418420393</v>
      </c>
      <c r="I31" s="73"/>
    </row>
    <row r="32" spans="2:9" ht="15.75" customHeight="1">
      <c r="B32" s="333" t="s">
        <v>315</v>
      </c>
      <c r="C32" s="350">
        <f>IF(Asset_Model!D7&gt;C27,Asset_Model!D7,C27)/(1+Dashboard!C16)</f>
        <v>1.355452771029499</v>
      </c>
      <c r="D32" s="334" t="str">
        <f>D30</f>
        <v>HKD</v>
      </c>
      <c r="E32" s="118">
        <f>(C32-G16)/C9</f>
        <v>-1535.5007962477857</v>
      </c>
      <c r="F32" s="155">
        <f>C32/(Asset_Model!I3*Exchange_Rate*Data!C4/Common_Shares)</f>
        <v>0.59240464986083918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2023-07-24T07:24:07Z</dcterms:modified>
  <cp:category/>
  <cp:contentStatus/>
</cp:coreProperties>
</file>