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ED74F849-2187-425E-A341-9F8868AB37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iterate="1" iterateDelta="9.9999999999994451E-4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3" i="7" l="1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<sst xmlns="http://schemas.openxmlformats.org/spreadsheetml/2006/main" count="487" uniqueCount="416">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</sst>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F51" sqref="F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378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379</v>
      </c>
      <c r="D4" s="322"/>
      <c r="E4" s="6"/>
      <c r="G4" s="5" t="s">
        <v>5</v>
      </c>
      <c r="I4" s="221">
        <v>7.78</v>
      </c>
      <c r="J4" s="222" t="s">
        <v>6</v>
      </c>
      <c r="K4" s="92"/>
    </row>
    <row r="5" spans="1:12" ht="15.75" customHeight="1">
      <c r="B5" s="5" t="s">
        <v>7</v>
      </c>
      <c r="C5" s="354">
        <v>45154</v>
      </c>
      <c r="D5" s="322"/>
      <c r="E5" s="79" t="str">
        <f ca="1">IF(C5+30&gt;=TODAY(),"Patience Premium","")</f>
        <v/>
      </c>
      <c r="G5" s="5" t="s">
        <v>8</v>
      </c>
      <c r="I5" s="321">
        <v>791574976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6158.4533132799997</v>
      </c>
      <c r="J6" s="361"/>
      <c r="K6" s="91"/>
    </row>
    <row r="7" spans="1:12" ht="15.75" customHeight="1">
      <c r="B7" s="86" t="s">
        <v>10</v>
      </c>
      <c r="C7" s="218">
        <f>(Data!C42*Exchange_Rate)/I4</f>
        <v>2.9552874844003089E-2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10.573341471265396</v>
      </c>
      <c r="J9" s="166">
        <f>IF(I9="NNI","NNI",1/I9)</f>
        <v>9.4577480800903529E-2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1.4963053874156813</v>
      </c>
      <c r="J10" s="223">
        <f>I4/(Data!C7*Data!C4/Common_Shares*Exchange_Rate)</f>
        <v>0.57435608755198597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8.4578200662637109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7.78</v>
      </c>
      <c r="C16" s="347">
        <v>0.2</v>
      </c>
      <c r="D16" s="238">
        <f ca="1">I37/B16-(1+C16)</f>
        <v>0.1951837553029796</v>
      </c>
      <c r="E16" s="341" t="s">
        <v>21</v>
      </c>
      <c r="F16" s="362">
        <f>(Val_Models!G16)*Exchange_Rate</f>
        <v>1.9020427820654631</v>
      </c>
      <c r="G16" s="341" t="s">
        <v>22</v>
      </c>
      <c r="H16" s="239">
        <f>B16-$F$16</f>
        <v>5.8779572179345374</v>
      </c>
      <c r="I16" s="336">
        <v>2.3E-2</v>
      </c>
      <c r="J16" s="166">
        <f>I16/B16</f>
        <v>2.9562982005141387E-3</v>
      </c>
    </row>
    <row r="17" spans="1:10" ht="15.75" customHeight="1">
      <c r="B17" s="116">
        <f ca="1">MIN((I37+I38)/2,I37/(1+C16), IF(J20=0,E14,I37/(1+C16)))</f>
        <v>8.8103928346340759</v>
      </c>
      <c r="C17" s="348"/>
      <c r="D17" s="149">
        <f ca="1">I37/B17-(1+C16)</f>
        <v>3.2014260883749257E-2</v>
      </c>
      <c r="E17" s="342"/>
      <c r="F17" s="363"/>
      <c r="G17" s="342"/>
      <c r="H17" s="236">
        <f ca="1">B17-$F$16</f>
        <v>6.908350052568613</v>
      </c>
      <c r="I17" s="337"/>
      <c r="J17" s="149">
        <f ca="1">I16/B17</f>
        <v>2.6105532899266307E-3</v>
      </c>
    </row>
    <row r="18" spans="1:10" ht="15.75" customHeight="1">
      <c r="B18" s="129">
        <f>C37</f>
        <v>7.375</v>
      </c>
      <c r="C18" s="349"/>
      <c r="D18" s="237">
        <f ca="1">I37/B18-(1+C16)</f>
        <v>0.27180062593317711</v>
      </c>
      <c r="E18" s="343"/>
      <c r="F18" s="364"/>
      <c r="G18" s="343"/>
      <c r="H18" s="98">
        <f>B18-$F$16</f>
        <v>5.4729572179345372</v>
      </c>
      <c r="I18" s="338"/>
      <c r="J18" s="158">
        <f>I16/B18</f>
        <v>3.1186440677966102E-3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382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383</v>
      </c>
      <c r="D22" s="352"/>
      <c r="E22" s="352"/>
      <c r="F22" s="352"/>
      <c r="G22" s="366" t="s">
        <v>384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386</v>
      </c>
      <c r="D23" s="340"/>
      <c r="E23" s="340"/>
      <c r="F23" s="340"/>
      <c r="G23" s="339" t="s">
        <v>385</v>
      </c>
      <c r="H23" s="339"/>
      <c r="I23" s="340"/>
      <c r="J23" s="340"/>
    </row>
    <row r="24" spans="1:10" ht="52.5" customHeight="1">
      <c r="A24" s="6"/>
      <c r="B24" s="19" t="s">
        <v>292</v>
      </c>
      <c r="C24" s="369" t="s">
        <v>407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 t="s">
        <v>408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45180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0.11174242424242424</v>
      </c>
      <c r="D29" s="329"/>
      <c r="E29" s="334">
        <f>E33/D27</f>
        <v>0.10424242424242425</v>
      </c>
      <c r="F29" s="329"/>
      <c r="G29" s="345">
        <f>G33/D27</f>
        <v>0</v>
      </c>
      <c r="H29" s="345"/>
      <c r="I29" s="344">
        <f>C29+E29+G29</f>
        <v>0.2159848484848485</v>
      </c>
      <c r="J29" s="344"/>
    </row>
    <row r="30" spans="1:10" ht="15.75" customHeight="1">
      <c r="B30" s="18" t="s">
        <v>32</v>
      </c>
      <c r="C30" s="321">
        <v>10000</v>
      </c>
      <c r="D30" s="322"/>
      <c r="E30" s="321">
        <v>10000</v>
      </c>
      <c r="F30" s="322"/>
      <c r="G30" s="321"/>
      <c r="H30" s="321"/>
      <c r="I30" s="350">
        <f>C30+E30+G30</f>
        <v>20000</v>
      </c>
      <c r="J30" s="350"/>
    </row>
    <row r="31" spans="1:10" ht="15.75" customHeight="1">
      <c r="B31" s="18" t="s">
        <v>33</v>
      </c>
      <c r="C31" s="323">
        <v>7.375</v>
      </c>
      <c r="D31" s="322"/>
      <c r="E31" s="323">
        <v>6.88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5837.8654479999996</v>
      </c>
      <c r="D32" s="329"/>
      <c r="E32" s="330">
        <f>E31*$I$5/1000000</f>
        <v>5446.03583488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73750</v>
      </c>
      <c r="D33" s="327"/>
      <c r="E33" s="326">
        <f>E30*E31</f>
        <v>68800</v>
      </c>
      <c r="F33" s="327"/>
      <c r="G33" s="326">
        <f>G30*G31</f>
        <v>0</v>
      </c>
      <c r="H33" s="326"/>
      <c r="I33" s="326">
        <f>C33+E33+G33</f>
        <v>142550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7.1275000000000004</v>
      </c>
      <c r="F34" s="329"/>
      <c r="G34" s="78"/>
      <c r="H34" s="78"/>
      <c r="I34" s="328">
        <f>IF(I33=0,"",I33/I30)</f>
        <v>7.1275000000000004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5641.9506414400003</v>
      </c>
      <c r="F35" s="325"/>
      <c r="G35" s="230"/>
      <c r="H35" s="230"/>
      <c r="I35" s="324">
        <f>IF(I34="","",I34*$I$5/1000000)</f>
        <v>5641.9506414400003</v>
      </c>
      <c r="J35" s="324"/>
    </row>
    <row r="36" spans="2:11" ht="15.75" customHeight="1"/>
    <row r="37" spans="2:11" ht="15.75" customHeight="1">
      <c r="B37" s="87" t="s">
        <v>256</v>
      </c>
      <c r="C37" s="374">
        <f>C31</f>
        <v>7.375</v>
      </c>
      <c r="D37" s="375"/>
      <c r="E37" s="79" t="str">
        <f ca="1">IF(C37&gt;B17,"Caution! &gt; Breakeven price!","")</f>
        <v/>
      </c>
      <c r="F37" s="6"/>
      <c r="G37" s="371" t="s">
        <v>316</v>
      </c>
      <c r="H37" s="371"/>
      <c r="I37" s="372">
        <f ca="1">Val_Models!C46</f>
        <v>10.854529616257182</v>
      </c>
      <c r="J37" s="373"/>
    </row>
    <row r="38" spans="2:11" ht="15.75" customHeight="1">
      <c r="B38" s="87" t="s">
        <v>281</v>
      </c>
      <c r="C38" s="374">
        <f>E34</f>
        <v>7.1275000000000004</v>
      </c>
      <c r="D38" s="375"/>
      <c r="E38" s="6"/>
      <c r="F38" s="6"/>
      <c r="G38" s="371" t="s">
        <v>280</v>
      </c>
      <c r="H38" s="371"/>
      <c r="I38" s="372">
        <f ca="1">Val_Models!C47</f>
        <v>6.7662560530109683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0.47180062593317706</v>
      </c>
      <c r="F47" s="171">
        <f ca="1">I37/C38-1</f>
        <v>0.52290839933457467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-8.2541552134105967E-2</v>
      </c>
      <c r="F48" s="171">
        <f ca="1">Val_Models!C47/C38-1</f>
        <v>-5.0683121289236355E-2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0.59918940139355337</v>
      </c>
      <c r="F50" s="171">
        <f ca="1">IF(F47&lt;=0,0,AVERAGE(F41:F44,0.5*(1+F47+F48-C16)))</f>
        <v>0.60748602181818012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5.7159165745591816</v>
      </c>
      <c r="F51" s="234">
        <f ca="1">IF(F48&gt;=0,100,F47/ABS(F48))</f>
        <v>10.317209872502968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2.7414890363402908</v>
      </c>
      <c r="F52" s="232">
        <f ca="1">MAX(C16*2.5/F47,1)+IF(F47&lt;C16,100,0)+IF(D18&lt;0,100,0)+IF(J20=1,2/(1+F47+F48-C16),0)</f>
        <v>2.57204862575347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0.19298547338194116</v>
      </c>
      <c r="F53" s="217">
        <f ca="1">MIN(MAX(F50-ABS((1-F50)/F51),0)/F52,H53)</f>
        <v>0.22139606153843483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1048125.3695644415</v>
      </c>
      <c r="E6" s="149">
        <f>1-D6/D3</f>
        <v>0.74354131254330791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1.3241011923606356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1.4963053874156813</v>
      </c>
      <c r="E53" s="51">
        <f>MAX(C53,C53*Dashboard!I10)</f>
        <v>75722.030435557972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4626117.3437155578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3" zoomScaleNormal="100" zoomScalePageLayoutView="80" workbookViewId="0">
      <selection activeCell="G17" sqref="G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1505609.4695644421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1.9020427820654631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-75722.030435557972</v>
      </c>
      <c r="D18" s="106">
        <f>C18/(Dashboard!I5/Data!C4)</f>
        <v>-9.5659959866591301E-2</v>
      </c>
      <c r="E18" s="342"/>
      <c r="F18" s="89">
        <f>D15+(MIN(D4,0)*Data!C$4/Dashboard!I5)</f>
        <v>2.9812476032592521</v>
      </c>
      <c r="G18" s="88">
        <f>SUM(D16:D18)</f>
        <v>-1.0792048211937892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11.117102676025528</v>
      </c>
      <c r="G22" s="271">
        <f>F22*Exchange_Rate</f>
        <v>11.117102676025528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20.194624362613055</v>
      </c>
      <c r="G23" s="272">
        <f>F23*Exchange_Rate</f>
        <v>20.194624362613055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15.393263784814438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7.375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0.59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-0.6367629901782037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0.92673904591836742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-0.6871006385051931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71"/>
      <c r="G40" s="280">
        <f>Asset_Model!D7</f>
        <v>1.3241011923606356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0.63700055385544252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8.4578200662637109</v>
      </c>
      <c r="D44" s="262" t="str">
        <f>Dashboard!J4</f>
        <v>HKD</v>
      </c>
      <c r="E44" s="263">
        <f ca="1">(C44-G16)/C9</f>
        <v>-2.6854446154892408</v>
      </c>
      <c r="F44" s="263">
        <f ca="1">C44/(Data!C29*Exchange_Rate*Data!C4/Common_Shares)</f>
        <v>1.6266686029489517</v>
      </c>
      <c r="G44" s="263">
        <f ca="1">C44/(Data!C7*Data!C4*Exchange_Rate/Common_Shares)</f>
        <v>0.62439594376322671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-4.7695546806164231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10.854529616257182</v>
      </c>
      <c r="D46" s="256" t="str">
        <f>D45</f>
        <v>HKD</v>
      </c>
      <c r="E46" s="223">
        <f ca="1">(C46-G16)/C9</f>
        <v>-3.6672093211687962</v>
      </c>
      <c r="F46" s="223">
        <f ca="1">C46/(Asset_Model!I3*Exchange_Rate*Data!C4/Common_Shares)</f>
        <v>2.1287195214838666</v>
      </c>
      <c r="G46" s="223">
        <f ca="1">C46/(Data!C7*Data!C4*Exchange_Rate/Common_Shares)</f>
        <v>0.80133228311190685</v>
      </c>
    </row>
    <row r="47" spans="1:9" ht="15.75" customHeight="1">
      <c r="B47" s="84" t="s">
        <v>280</v>
      </c>
      <c r="C47" s="259">
        <f ca="1">MAX(G41,C44)/(1+Dashboard!I14)</f>
        <v>6.7662560530109683</v>
      </c>
      <c r="D47" s="260" t="str">
        <f>D45</f>
        <v>HKD</v>
      </c>
      <c r="E47" s="224">
        <f ca="1">(C47-G16)/C9</f>
        <v>-1.9925288445257838</v>
      </c>
      <c r="F47" s="224">
        <f ca="1">C47/(Asset_Model!I3*Exchange_Rate*Data!C4/Common_Shares)</f>
        <v>1.3269539866407747</v>
      </c>
      <c r="G47" s="224">
        <f ca="1">C47/(Data!C7*Data!C4*Exchange_Rate/Common_Shares)</f>
        <v>0.49951675501058135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2023-09-25T08:57:21Z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