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0FD4BD8-A8D6-4DB8-92FE-2DC140FD4C1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6" i="1" s="1"/>
  <c r="C31" i="4"/>
  <c r="I35" i="1" s="1"/>
  <c r="D18" i="1" s="1"/>
  <c r="E14" i="1"/>
  <c r="E27" i="4"/>
  <c r="F27" i="4"/>
  <c r="D16" i="1" l="1"/>
  <c r="E31" i="4"/>
  <c r="F31" i="4"/>
  <c r="B17" i="1"/>
  <c r="D17" i="1" s="1"/>
  <c r="E46" i="1"/>
  <c r="F46" i="1"/>
  <c r="F32" i="4"/>
  <c r="E32" i="4"/>
  <c r="J17" i="1" l="1"/>
  <c r="H17" i="1"/>
  <c r="F45" i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<sst xmlns="http://schemas.openxmlformats.org/spreadsheetml/2006/main" count="420" uniqueCount="350">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</sst>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25" zoomScaleNormal="100" workbookViewId="0">
      <selection activeCell="E30" sqref="E30:F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316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317</v>
      </c>
      <c r="D4" s="375"/>
      <c r="E4" s="6"/>
      <c r="G4" s="5" t="s">
        <v>5</v>
      </c>
      <c r="I4" s="32">
        <v>9.5</v>
      </c>
      <c r="J4" s="33" t="s">
        <v>6</v>
      </c>
      <c r="K4" s="149"/>
    </row>
    <row r="5" spans="1:12" ht="15.75" customHeight="1">
      <c r="B5" s="5" t="s">
        <v>7</v>
      </c>
      <c r="C5" s="376">
        <v>44956</v>
      </c>
      <c r="D5" s="375"/>
      <c r="E5" s="120" t="str">
        <f ca="1">IF(C5+30&gt;=TODAY(),"Patience Premium","")</f>
        <v/>
      </c>
      <c r="G5" s="5" t="s">
        <v>8</v>
      </c>
      <c r="I5" s="386">
        <v>8171879936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88">
        <f>I4*I5/1000000</f>
        <v>77632.859391999998</v>
      </c>
      <c r="J6" s="389"/>
      <c r="K6" s="148"/>
    </row>
    <row r="7" spans="1:12" ht="15.75" customHeight="1">
      <c r="B7" s="136" t="s">
        <v>10</v>
      </c>
      <c r="C7" s="142">
        <f>(Data!C39*Exchange_Rate)/I4</f>
        <v>3.9334980366763098E-2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13.53574528977598</v>
      </c>
      <c r="J9" s="48">
        <f>IF(I9="NNI","NNI",1/I9)</f>
        <v>7.3878458746954617E-2</v>
      </c>
    </row>
    <row r="10" spans="1:12" ht="15.75" customHeight="1">
      <c r="B10" s="3" t="s">
        <v>256</v>
      </c>
      <c r="C10" s="279" t="s">
        <v>324</v>
      </c>
      <c r="D10" s="279">
        <v>3.4660000000000003E-2</v>
      </c>
      <c r="E10" s="5"/>
      <c r="G10" s="5" t="s">
        <v>14</v>
      </c>
      <c r="I10" s="135">
        <f>I4/(Data!C28*I12*Data!C4/Common_Shares)</f>
        <v>0.49063760341806911</v>
      </c>
      <c r="J10" s="127">
        <f>IF(Asset_Model!D60/'FCFF Model'!C4&lt;0,"Negative EV",Asset_Model!D60/'FCFF Model'!C4)</f>
        <v>2.951889437973771</v>
      </c>
    </row>
    <row r="11" spans="1:12" ht="15.75" customHeight="1" thickBot="1">
      <c r="B11" s="288" t="s">
        <v>257</v>
      </c>
      <c r="C11" s="403">
        <f ca="1">C12-D10</f>
        <v>2.5339999999999994E-2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0.06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10.735099766534228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9.5</v>
      </c>
      <c r="C16" s="420">
        <v>0.25</v>
      </c>
      <c r="D16" s="156">
        <f ca="1">I35/B16-(1+J25)</f>
        <v>-1.0661794657077506E-2</v>
      </c>
      <c r="E16" s="393" t="s">
        <v>23</v>
      </c>
      <c r="F16" s="390">
        <f>('FCFF Model'!G16)*Exchange_Rate</f>
        <v>5.902449981989065</v>
      </c>
      <c r="G16" s="393" t="s">
        <v>24</v>
      </c>
      <c r="H16" s="355">
        <f>B16-$F$16</f>
        <v>3.597550018010935</v>
      </c>
      <c r="I16" s="411">
        <v>0.42</v>
      </c>
      <c r="J16" s="158">
        <f>I16/B16</f>
        <v>4.4210526315789471E-2</v>
      </c>
    </row>
    <row r="17" spans="1:10" ht="15.75" customHeight="1">
      <c r="B17" s="269">
        <f ca="1">(I35+I36)/2</f>
        <v>10.581367742939435</v>
      </c>
      <c r="C17" s="421"/>
      <c r="D17" s="268">
        <f ca="1">I35/B17-(1+J25)</f>
        <v>-0.13220675953758554</v>
      </c>
      <c r="E17" s="394"/>
      <c r="F17" s="391"/>
      <c r="G17" s="394"/>
      <c r="H17" s="356">
        <f ca="1">B17-$F$16</f>
        <v>4.6789177609503696</v>
      </c>
      <c r="I17" s="412"/>
      <c r="J17" s="159">
        <f ca="1">I16/B17</f>
        <v>3.9692411246197434E-2</v>
      </c>
    </row>
    <row r="18" spans="1:10" ht="15.75" customHeight="1">
      <c r="B18" s="323">
        <f>C35</f>
        <v>9.26</v>
      </c>
      <c r="C18" s="422"/>
      <c r="D18" s="157">
        <f ca="1">I35/B18-(1+J25)</f>
        <v>2.0163385610989737E-2</v>
      </c>
      <c r="E18" s="395"/>
      <c r="F18" s="392"/>
      <c r="G18" s="395"/>
      <c r="H18" s="357">
        <f>B18-$F$16</f>
        <v>3.3575500180109348</v>
      </c>
      <c r="I18" s="413"/>
      <c r="J18" s="160">
        <f>I16/B18</f>
        <v>4.5356371490280774E-2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319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320</v>
      </c>
      <c r="D22" s="398"/>
      <c r="E22" s="398"/>
      <c r="F22" s="398"/>
      <c r="G22" s="397" t="s">
        <v>322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321</v>
      </c>
      <c r="D23" s="383"/>
      <c r="E23" s="383"/>
      <c r="F23" s="383"/>
      <c r="G23" s="382" t="s">
        <v>323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349</v>
      </c>
      <c r="I25" s="30"/>
      <c r="J25" s="360">
        <v>0.2</v>
      </c>
    </row>
    <row r="26" spans="1:10" ht="15.75" customHeight="1">
      <c r="B26" s="23" t="s">
        <v>31</v>
      </c>
      <c r="C26" s="377">
        <v>44970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0.14975757575757576</v>
      </c>
      <c r="D27" s="409"/>
      <c r="E27" s="408">
        <f>E31/D25</f>
        <v>0.14030303030303029</v>
      </c>
      <c r="F27" s="409"/>
      <c r="G27" s="415">
        <f>G31/D25</f>
        <v>0</v>
      </c>
      <c r="H27" s="416"/>
      <c r="I27" s="414">
        <f>C27+E27+G27</f>
        <v>0.29006060606060602</v>
      </c>
      <c r="J27" s="414"/>
    </row>
    <row r="28" spans="1:10" ht="15.75" customHeight="1">
      <c r="B28" s="23" t="s">
        <v>34</v>
      </c>
      <c r="C28" s="436">
        <v>10000</v>
      </c>
      <c r="D28" s="398"/>
      <c r="E28" s="436">
        <v>10000</v>
      </c>
      <c r="F28" s="398"/>
      <c r="G28" s="386"/>
      <c r="H28" s="387"/>
      <c r="I28" s="426">
        <f>C28+E28+G28</f>
        <v>20000</v>
      </c>
      <c r="J28" s="426"/>
    </row>
    <row r="29" spans="1:10" ht="15.75" customHeight="1">
      <c r="B29" s="23" t="s">
        <v>35</v>
      </c>
      <c r="C29" s="437">
        <v>9.8840000000000003</v>
      </c>
      <c r="D29" s="398"/>
      <c r="E29" s="437">
        <v>9.26</v>
      </c>
      <c r="F29" s="398"/>
      <c r="G29" s="406">
        <v>8.6</v>
      </c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80770.861287423992</v>
      </c>
      <c r="D30" s="432"/>
      <c r="E30" s="424">
        <f>E29*$I$5/1000000</f>
        <v>75671.608207359997</v>
      </c>
      <c r="F30" s="432"/>
      <c r="G30" s="368">
        <f>G29*$I$5/1000000</f>
        <v>70278.167449599991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98840</v>
      </c>
      <c r="D31" s="434"/>
      <c r="E31" s="425">
        <f>E28*E29</f>
        <v>92600</v>
      </c>
      <c r="F31" s="435"/>
      <c r="G31" s="370">
        <f>G28*G29</f>
        <v>0</v>
      </c>
      <c r="H31" s="371"/>
      <c r="I31" s="425">
        <f>C31+E31+G31</f>
        <v>191440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9.5719999999999992</v>
      </c>
      <c r="F32" s="409"/>
      <c r="G32" s="115"/>
      <c r="H32" s="115"/>
      <c r="I32" s="427">
        <f>IF(I31=0,"",I31/I28)</f>
        <v>9.5719999999999992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78221.234747391994</v>
      </c>
      <c r="F33" s="432"/>
      <c r="G33" s="116"/>
      <c r="H33" s="116"/>
      <c r="I33" s="424">
        <f>IF(I32="","",I32*$I$5/1000000)</f>
        <v>78221.234747391994</v>
      </c>
      <c r="J33" s="424"/>
    </row>
    <row r="34" spans="2:11" ht="15.75" customHeight="1"/>
    <row r="35" spans="2:11" ht="15.75" customHeight="1">
      <c r="B35" s="143" t="s">
        <v>288</v>
      </c>
      <c r="C35" s="364">
        <f>E29</f>
        <v>9.26</v>
      </c>
      <c r="D35" s="365"/>
      <c r="G35" s="361" t="s">
        <v>336</v>
      </c>
      <c r="H35" s="361"/>
      <c r="I35" s="362">
        <f ca="1">'FCFF Model'!C31</f>
        <v>11.298712950757764</v>
      </c>
      <c r="J35" s="363"/>
    </row>
    <row r="36" spans="2:11" ht="15.75" customHeight="1">
      <c r="B36" s="143" t="s">
        <v>337</v>
      </c>
      <c r="C36" s="364">
        <f>E32</f>
        <v>9.5719999999999992</v>
      </c>
      <c r="D36" s="365"/>
      <c r="G36" s="366" t="s">
        <v>334</v>
      </c>
      <c r="H36" s="367"/>
      <c r="I36" s="362">
        <f ca="1">'FCFF Model'!C32</f>
        <v>9.8640225351211033</v>
      </c>
      <c r="J36" s="363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0.14313162188969697</v>
      </c>
      <c r="F45" s="332">
        <f ca="1">I35/C36-1</f>
        <v>0.18039207592538298</v>
      </c>
    </row>
    <row r="46" spans="2:11" ht="15.75" customHeight="1">
      <c r="B46" s="3" t="s">
        <v>304</v>
      </c>
      <c r="E46" s="329">
        <f ca="1">'FCFF Model'!C32/C29-1</f>
        <v>-2.0211923187876124E-3</v>
      </c>
      <c r="F46" s="332">
        <f ca="1">'FCFF Model'!C32/C36-1</f>
        <v>3.0507995729325499E-2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0.61649216610738411</v>
      </c>
      <c r="F48" s="329">
        <f ca="1">IF(F45&lt;=0,0,AVERAGE(F39:F41,1-F42,F45/J25))</f>
        <v>0.65375262014307012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70.815439262876637</v>
      </c>
      <c r="F49" s="328">
        <f ca="1">IF(F46&gt;=0,100,F45/ABS(F46))</f>
        <v>100</v>
      </c>
      <c r="G49" s="73"/>
    </row>
    <row r="50" spans="2:9" ht="15.75" customHeight="1">
      <c r="B50" s="3" t="s">
        <v>347</v>
      </c>
      <c r="E50" s="358">
        <f ca="1">MAX(J25*2/E45,1)</f>
        <v>2.7946305276150385</v>
      </c>
      <c r="F50" s="358">
        <f ca="1">MAX(J25*2/F45,1)</f>
        <v>2.217392299235224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0.21866095132295929</v>
      </c>
      <c r="F51" s="327">
        <f ca="1">MIN(MAX(F48-ABS((1-F48)/F49),0)/F50,H51)</f>
        <v>0.29326797363226392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36" sqref="D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6739518.3509999998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6739518.3509999998</v>
      </c>
      <c r="E53" s="434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16666852.028999992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0.5934554144758829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0.15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I31" sqref="I3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1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Analysis'!$E$8</f>
        <v>10.735099766534228</v>
      </c>
      <c r="D27" s="117" t="str">
        <f>Dashboard!J4</f>
        <v>HKD</v>
      </c>
      <c r="E27" s="118">
        <f ca="1">(C27-G16)/C9</f>
        <v>9.5814436115910357</v>
      </c>
      <c r="F27" s="155">
        <f ca="1">C27/(Data!C28*Exchange_Rate*Data!C4/Common_Shares)</f>
        <v>0.5544256444111817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Analysis'!E64</f>
        <v>11.298712950757764</v>
      </c>
      <c r="D31" s="334" t="str">
        <f>D30</f>
        <v>HKD</v>
      </c>
      <c r="E31" s="118">
        <f ca="1">(C31-G16)/C9</f>
        <v>10.698890185240348</v>
      </c>
      <c r="F31" s="155">
        <f ca="1">C31/(Asset_Model!I3*Exchange_Rate*Data!C4/Common_Shares)</f>
        <v>0.57952420149814499</v>
      </c>
      <c r="I31" s="73"/>
    </row>
    <row r="32" spans="2:9" ht="15.75" customHeight="1">
      <c r="B32" s="333" t="s">
        <v>334</v>
      </c>
      <c r="C32" s="350">
        <f ca="1">IF(Asset_Model!D7&gt;C27,Asset_Model!D7,C27)/(1+Dashboard!C16)</f>
        <v>9.8640225351211033</v>
      </c>
      <c r="D32" s="334" t="str">
        <f>D30</f>
        <v>HKD</v>
      </c>
      <c r="E32" s="118">
        <f ca="1">(C32-G16)/C9</f>
        <v>7.8544040481579875</v>
      </c>
      <c r="F32" s="155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2023-06-26T07:01:58Z</dcterms:modified>
  <cp:category/>
  <cp:contentStatus/>
</cp:coreProperties>
</file>