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A9926A8-AD10-4F64-8869-0F8169328CA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<sst xmlns="http://schemas.openxmlformats.org/spreadsheetml/2006/main" count="411" uniqueCount="342">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</sst>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1.62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2159.9946777600003</v>
      </c>
      <c r="J6" s="389"/>
      <c r="K6" s="148"/>
    </row>
    <row r="7" spans="1:12" ht="15.75" customHeight="1">
      <c r="B7" s="136" t="s">
        <v>10</v>
      </c>
      <c r="C7" s="142">
        <f>(Data!C39*Exchange_Rate)/I4</f>
        <v>4.8433631346891728E-2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30.663368104885624</v>
      </c>
      <c r="J9" s="48">
        <f>IF(I9="NNI","NNI",1/I9)</f>
        <v>3.2612203479391068E-2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0.70390131728092942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1.0882463455200195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1.7024820151580062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1.62</v>
      </c>
      <c r="C16" s="420">
        <v>0.25</v>
      </c>
      <c r="D16" s="156">
        <f>I35/B16-(1+J25)</f>
        <v>-5.016626295113924E-2</v>
      </c>
      <c r="E16" s="393" t="s">
        <v>23</v>
      </c>
      <c r="F16" s="390">
        <f>('FCFF Model'!G16)*Exchange_Rate</f>
        <v>1.9002841663837244</v>
      </c>
      <c r="G16" s="393" t="s">
        <v>24</v>
      </c>
      <c r="H16" s="355">
        <f>B16-$F$16</f>
        <v>-0.28028416638372433</v>
      </c>
      <c r="I16" s="411">
        <v>2.5100000000000001E-2</v>
      </c>
      <c r="J16" s="158">
        <f>I16/B16</f>
        <v>1.5493827160493827E-2</v>
      </c>
    </row>
    <row r="17" spans="1:10" ht="15.75" customHeight="1">
      <c r="B17" s="269">
        <f>(I35+I36)/2</f>
        <v>1.6123581330727796</v>
      </c>
      <c r="C17" s="421"/>
      <c r="D17" s="268">
        <f>I35/B17-(1+J25)</f>
        <v>-4.4716557810129398E-2</v>
      </c>
      <c r="E17" s="394"/>
      <c r="F17" s="391"/>
      <c r="G17" s="394"/>
      <c r="H17" s="356">
        <f>B17-$F$16</f>
        <v>-0.2879260333109448</v>
      </c>
      <c r="I17" s="412"/>
      <c r="J17" s="159">
        <f>I16/B17</f>
        <v>1.5567261072554172E-2</v>
      </c>
    </row>
    <row r="18" spans="1:10" ht="15.75" customHeight="1">
      <c r="B18" s="323">
        <f>C35</f>
        <v>1.37</v>
      </c>
      <c r="C18" s="422"/>
      <c r="D18" s="157">
        <f>I35/B18-(1+J25)</f>
        <v>0.15965741169281333</v>
      </c>
      <c r="E18" s="395"/>
      <c r="F18" s="392"/>
      <c r="G18" s="395"/>
      <c r="H18" s="357">
        <f>B18-$F$16</f>
        <v>-0.53028416638372433</v>
      </c>
      <c r="I18" s="413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0.12454545454545454</v>
      </c>
      <c r="F27" s="409"/>
      <c r="G27" s="415">
        <f>G31/D25</f>
        <v>0</v>
      </c>
      <c r="H27" s="416"/>
      <c r="I27" s="414">
        <f>C27+E27+G27</f>
        <v>0.27963636363636363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1.37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1826.6621657600003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82200</v>
      </c>
      <c r="F31" s="435"/>
      <c r="G31" s="370">
        <f>G28*G29</f>
        <v>0</v>
      </c>
      <c r="H31" s="371"/>
      <c r="I31" s="425">
        <f>C31+E31+G31</f>
        <v>184560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1.538</v>
      </c>
      <c r="F32" s="409"/>
      <c r="G32" s="115"/>
      <c r="H32" s="115"/>
      <c r="I32" s="427">
        <f>IF(I31=0,"",I31/I28)</f>
        <v>1.538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2050.6616138240001</v>
      </c>
      <c r="F33" s="432"/>
      <c r="G33" s="116"/>
      <c r="H33" s="116"/>
      <c r="I33" s="424">
        <f>IF(I32="","",I32*$I$5/1000000)</f>
        <v>2050.6616138240001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1.37</v>
      </c>
      <c r="D35" s="365"/>
      <c r="G35" s="366" t="s">
        <v>317</v>
      </c>
      <c r="H35" s="367"/>
      <c r="I35" s="362">
        <f>'FCFF Model'!C31</f>
        <v>1.8627306540191544</v>
      </c>
      <c r="J35" s="363"/>
    </row>
    <row r="36" spans="2:11" ht="15.75" customHeight="1">
      <c r="B36" s="143" t="s">
        <v>318</v>
      </c>
      <c r="C36" s="364">
        <f>E32</f>
        <v>1.538</v>
      </c>
      <c r="D36" s="365"/>
      <c r="G36" s="361" t="s">
        <v>315</v>
      </c>
      <c r="H36" s="361"/>
      <c r="I36" s="362">
        <f>'FCFF Model'!C32</f>
        <v>1.3619856121264049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9.1870254407476315E-2</v>
      </c>
      <c r="F45" s="332">
        <f>I35/C36-1</f>
        <v>0.21113826659242796</v>
      </c>
    </row>
    <row r="46" spans="2:11" ht="15.75" customHeight="1">
      <c r="B46" s="3" t="s">
        <v>300</v>
      </c>
      <c r="E46" s="329">
        <f>I36/C29-1</f>
        <v>-0.20164969980867242</v>
      </c>
      <c r="F46" s="332">
        <f>I36/C36-1</f>
        <v>-0.11444368522340387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0.56804712515577571</v>
      </c>
      <c r="F48" s="329">
        <f>IF(F45&lt;=0,0,AVERAGE(F39:F41,1-F42,F45/J25))</f>
        <v>0.68731513734072736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0.45559331104704781</v>
      </c>
      <c r="F49" s="328">
        <f>IF(F46&gt;=0,100,F45/ABS(F46))</f>
        <v>1.844909714155639</v>
      </c>
      <c r="G49" s="73"/>
    </row>
    <row r="50" spans="2:9" ht="15.75" customHeight="1">
      <c r="B50" s="3" t="s">
        <v>340</v>
      </c>
      <c r="E50" s="358">
        <f>MAX(J25*2/E45,1)</f>
        <v>4.3539663907521344</v>
      </c>
      <c r="F50" s="358">
        <f>MAX(J25*2/F45,1)</f>
        <v>1.8944931511261407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0.27333429676139165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2.2955032542128126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1.5113389309944614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-679521.32223999966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1.7024820151580062</v>
      </c>
      <c r="D27" s="117" t="str">
        <f>Dashboard!J4</f>
        <v>HKD</v>
      </c>
      <c r="E27" s="118">
        <f>(C27-G16)/C9</f>
        <v>-171.75927619817344</v>
      </c>
      <c r="F27" s="155">
        <f>C27/(Data!C28*Exchange_Rate*Data!C4/Common_Shares)</f>
        <v>0.73974032908445164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2.0659529287915315</v>
      </c>
      <c r="D30" s="334" t="str">
        <f>D27</f>
        <v>HKD</v>
      </c>
      <c r="E30" s="118">
        <f>(C30-G16)/C9</f>
        <v>1256.5940532084148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1.8627306540191544</v>
      </c>
      <c r="D31" s="334" t="str">
        <f>D30</f>
        <v>HKD</v>
      </c>
      <c r="E31" s="118">
        <f>(C31-G16)/C9</f>
        <v>457.97935835176548</v>
      </c>
      <c r="F31" s="155">
        <f>C31/(Asset_Model!I3*Exchange_Rate*Data!C4/Common_Shares)</f>
        <v>0.81146940245045862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1.3619856121264049</v>
      </c>
      <c r="D32" s="334" t="str">
        <f>D30</f>
        <v>HKD</v>
      </c>
      <c r="E32" s="118">
        <f>(C32-G16)/C9</f>
        <v>-1509.8283009221816</v>
      </c>
      <c r="F32" s="155">
        <f>C32/(Asset_Model!I3*Exchange_Rate*Data!C4/Common_Shares)</f>
        <v>0.59332767645910611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2023-06-26T07:02:03Z</dcterms:modified>
  <cp:category/>
  <cp:contentStatus/>
</cp:coreProperties>
</file>