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Model_templates\Listed_template\"/>
    </mc:Choice>
  </mc:AlternateContent>
  <xr:revisionPtr revIDLastSave="0" documentId="13_ncr:1_{D21F471B-1D21-4D56-B93C-A55CC6467FB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36" i="1" l="1"/>
  <c r="I7" i="3"/>
  <c r="I8" i="3"/>
  <c r="I6" i="3"/>
  <c r="B18" i="1"/>
  <c r="E7" i="3"/>
  <c r="E6" i="1"/>
  <c r="C26" i="4"/>
  <c r="E11" i="7"/>
  <c r="E12" i="7"/>
  <c r="E9" i="7"/>
  <c r="E8" i="7"/>
  <c r="E6" i="7"/>
  <c r="C15" i="3"/>
  <c r="I28" i="3"/>
  <c r="C33" i="3"/>
  <c r="C58" i="3" s="1"/>
  <c r="G31" i="3"/>
  <c r="C36" i="3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C6" i="7"/>
  <c r="D5" i="7" s="1"/>
  <c r="G34" i="4"/>
  <c r="E16" i="1"/>
  <c r="C12" i="7"/>
  <c r="D4" i="7" l="1"/>
  <c r="D20" i="2"/>
  <c r="E20" i="2"/>
  <c r="F20" i="2"/>
  <c r="G20" i="2"/>
  <c r="H20" i="2"/>
  <c r="I20" i="2"/>
  <c r="J20" i="2"/>
  <c r="K20" i="2"/>
  <c r="L20" i="2"/>
  <c r="M20" i="2"/>
  <c r="C20" i="2"/>
  <c r="G16" i="3" l="1"/>
  <c r="I8" i="7" l="1"/>
  <c r="I10" i="7" s="1"/>
  <c r="I15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13" i="7" l="1"/>
  <c r="I4" i="3" l="1"/>
  <c r="D4" i="3"/>
  <c r="D6" i="1"/>
  <c r="E9" i="3"/>
  <c r="C3" i="7" l="1"/>
  <c r="C29" i="4"/>
  <c r="C3" i="4" l="1"/>
  <c r="E3" i="7"/>
  <c r="C15" i="4"/>
  <c r="B3" i="4"/>
  <c r="C17" i="4" s="1"/>
  <c r="C8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9" i="7"/>
  <c r="C11" i="7"/>
  <c r="B3" i="7"/>
  <c r="C10" i="7"/>
  <c r="C15" i="7" s="1"/>
  <c r="C18" i="7" s="1"/>
  <c r="E7" i="7"/>
  <c r="C4" i="4" l="1"/>
  <c r="C7" i="4" s="1"/>
  <c r="C8" i="4" s="1"/>
  <c r="C9" i="4" s="1"/>
  <c r="C10" i="4" s="1"/>
  <c r="C17" i="7"/>
  <c r="I32" i="3"/>
  <c r="C13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I46" i="3"/>
  <c r="E19" i="3"/>
  <c r="I15" i="3"/>
  <c r="E31" i="3"/>
  <c r="E16" i="3"/>
  <c r="E20" i="3"/>
  <c r="C24" i="3"/>
  <c r="E10" i="7" l="1"/>
  <c r="E15" i="7" s="1"/>
  <c r="E16" i="7" s="1"/>
  <c r="E18" i="7" s="1"/>
  <c r="E17" i="7" s="1"/>
  <c r="G8" i="7"/>
  <c r="D52" i="3"/>
  <c r="C20" i="4" s="1"/>
  <c r="D20" i="4" s="1"/>
  <c r="I53" i="3"/>
  <c r="C44" i="3"/>
  <c r="C25" i="3"/>
  <c r="E14" i="7" l="1"/>
  <c r="G10" i="7"/>
  <c r="G15" i="7" s="1"/>
  <c r="I14" i="7" s="1"/>
  <c r="I3" i="7" s="1"/>
  <c r="F3" i="4" s="1"/>
  <c r="G4" i="4" s="1"/>
  <c r="B24" i="4" s="1"/>
  <c r="G2" i="4" s="1"/>
  <c r="D4" i="4"/>
  <c r="E13" i="7"/>
  <c r="C45" i="3"/>
  <c r="E12" i="3"/>
  <c r="G14" i="7" l="1"/>
  <c r="G16" i="7"/>
  <c r="I16" i="7" s="1"/>
  <c r="I18" i="7" s="1"/>
  <c r="I17" i="7" s="1"/>
  <c r="G13" i="7"/>
  <c r="D7" i="4"/>
  <c r="D8" i="4" s="1"/>
  <c r="D9" i="4" s="1"/>
  <c r="D10" i="4" s="1"/>
  <c r="D5" i="4"/>
  <c r="D53" i="5"/>
  <c r="F4" i="4" l="1"/>
  <c r="F8" i="4" s="1"/>
  <c r="F9" i="4" s="1"/>
  <c r="G18" i="7"/>
  <c r="E4" i="4" s="1"/>
  <c r="E35" i="3"/>
  <c r="G17" i="7" l="1"/>
  <c r="E8" i="4"/>
  <c r="E9" i="4" s="1"/>
  <c r="F5" i="4"/>
  <c r="E5" i="4"/>
  <c r="C14" i="2"/>
  <c r="D43" i="2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16" i="2"/>
  <c r="C45" i="2" s="1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D63" i="3" s="1"/>
  <c r="D65" i="3" s="1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E58" i="3" l="1"/>
  <c r="D36" i="5"/>
  <c r="C33" i="2"/>
  <c r="E33" i="2"/>
  <c r="E34" i="2" s="1"/>
  <c r="D33" i="2"/>
  <c r="D34" i="2" s="1"/>
  <c r="D6" i="5"/>
  <c r="D55" i="5"/>
  <c r="E32" i="1"/>
  <c r="E33" i="1" s="1"/>
  <c r="D58" i="3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I25" i="3" s="1"/>
  <c r="J25" i="3" s="1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I44" i="3"/>
  <c r="C27" i="4"/>
  <c r="E45" i="3"/>
  <c r="D45" i="3" s="1"/>
  <c r="D25" i="3"/>
  <c r="E45" i="2"/>
  <c r="E35" i="2"/>
  <c r="D45" i="2"/>
  <c r="D35" i="2"/>
  <c r="D62" i="5"/>
  <c r="E62" i="5" s="1"/>
  <c r="J24" i="3"/>
  <c r="E17" i="2"/>
  <c r="I17" i="2"/>
  <c r="D17" i="2"/>
  <c r="D46" i="3"/>
  <c r="I45" i="3" l="1"/>
  <c r="J45" i="3" s="1"/>
  <c r="I10" i="1"/>
  <c r="E50" i="3" s="1"/>
  <c r="D50" i="3" s="1"/>
  <c r="J44" i="3"/>
  <c r="E6" i="5"/>
  <c r="J26" i="3" l="1"/>
  <c r="D18" i="5" s="1"/>
  <c r="E18" i="5" s="1"/>
  <c r="C21" i="4"/>
  <c r="D60" i="3"/>
  <c r="D21" i="4" l="1"/>
  <c r="G21" i="4" s="1"/>
  <c r="G18" i="4"/>
  <c r="D49" i="3"/>
  <c r="D6" i="3"/>
  <c r="D7" i="3" s="1"/>
  <c r="G19" i="4" l="1"/>
  <c r="H16" i="1" s="1"/>
  <c r="E6" i="3"/>
  <c r="E20" i="4" l="1"/>
  <c r="J16" i="1"/>
  <c r="J10" i="1" l="1"/>
  <c r="F16" i="1" l="1"/>
  <c r="D13" i="4" l="1"/>
  <c r="F13" i="4" s="1"/>
  <c r="G13" i="4"/>
  <c r="E13" i="4" l="1"/>
  <c r="E14" i="4" s="1"/>
  <c r="E15" i="4" s="1"/>
  <c r="D14" i="4"/>
  <c r="D15" i="4" s="1"/>
  <c r="F14" i="4" l="1"/>
  <c r="J18" i="1"/>
  <c r="F18" i="1"/>
  <c r="G14" i="4" l="1"/>
  <c r="F15" i="4"/>
  <c r="F25" i="4" s="1"/>
  <c r="G8" i="4" l="1"/>
  <c r="G9" i="4" s="1"/>
  <c r="G12" i="4" s="1"/>
  <c r="E26" i="4" l="1"/>
  <c r="G26" i="4" s="1"/>
  <c r="E30" i="4" s="1"/>
  <c r="C34" i="4"/>
  <c r="E25" i="4"/>
  <c r="G25" i="4" s="1"/>
  <c r="E27" i="4"/>
  <c r="G27" i="4" s="1"/>
  <c r="I35" i="1" l="1"/>
  <c r="G15" i="4"/>
  <c r="F34" i="4" l="1"/>
  <c r="E34" i="4" l="1"/>
  <c r="C11" i="1" l="1"/>
  <c r="D12" i="5" l="1"/>
  <c r="E64" i="5" l="1"/>
  <c r="D64" i="5" s="1"/>
  <c r="E7" i="5" s="1"/>
  <c r="D7" i="5" s="1"/>
  <c r="D5" i="5"/>
  <c r="D8" i="5" l="1"/>
  <c r="E8" i="5" s="1"/>
  <c r="E5" i="5"/>
  <c r="C30" i="4" l="1"/>
  <c r="C33" i="4" s="1"/>
  <c r="H14" i="1" s="1"/>
  <c r="J25" i="1" s="1"/>
  <c r="D30" i="4" l="1"/>
  <c r="D14" i="1"/>
  <c r="F14" i="1"/>
  <c r="F33" i="4"/>
  <c r="E33" i="4"/>
  <c r="D18" i="1"/>
  <c r="B17" i="1"/>
  <c r="D16" i="1"/>
  <c r="J17" i="1" l="1"/>
  <c r="F17" i="1"/>
  <c r="D17" i="1"/>
</calcChain>
</file>

<file path=xl/sharedStrings.xml><?xml version="1.0" encoding="utf-8"?>
<sst xmlns="http://schemas.openxmlformats.org/spreadsheetml/2006/main" count="394" uniqueCount="332">
  <si>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</si>
  <si>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</si>
  <si>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</si>
  <si>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</si>
  <si>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</si>
  <si>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</si>
  <si>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</si>
  <si>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</si>
  <si>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</si>
  <si>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</si>
  <si>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</si>
  <si>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</si>
  <si>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</si>
  <si>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</si>
  <si>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</si>
  <si>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</si>
  <si>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</si>
  <si>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</si>
  <si>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</si>
  <si>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</si>
  <si>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</si>
  <si>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</si>
  <si>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</si>
  <si>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</si>
  <si>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</si>
  <si>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</si>
  <si>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</si>
  <si>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</si>
  <si>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</si>
  <si>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</si>
  <si>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</si>
  <si>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</si>
  <si>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</si>
  <si>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</si>
  <si>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</si>
  <si>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</si>
  <si>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</si>
  <si>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</si>
  <si>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</si>
  <si>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</si>
  <si>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</si>
  <si>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</si>
  <si>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</si>
  <si>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</si>
  <si>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</si>
  <si>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</si>
  <si>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</si>
  <si>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</si>
  <si>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</si>
  <si>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</si>
  <si>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</si>
  <si>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</si>
  <si>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</si>
  <si>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</si>
  <si>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</si>
  <si>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</si>
  <si>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</si>
  <si>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</si>
  <si>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</si>
  <si>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</si>
  <si>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</si>
  <si>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</si>
  <si>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</si>
  <si>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</si>
  <si>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</si>
  <si>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</si>
  <si>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</si>
  <si>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</si>
  <si>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</si>
  <si>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</si>
  <si>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</si>
  <si>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</si>
  <si>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</si>
  <si>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</si>
  <si>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</si>
  <si>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</si>
  <si>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</si>
  <si>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</si>
  <si>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</si>
  <si>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</si>
  <si>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</si>
  <si>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</si>
  <si>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</si>
  <si>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</si>
  <si>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</si>
  <si>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</si>
  <si>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</si>
  <si>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</si>
  <si>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</si>
  <si>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</si>
  <si>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</si>
  <si>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</si>
  <si>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</si>
  <si>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</si>
  <si>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</si>
  <si>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</si>
  <si>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</si>
  <si>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</si>
  <si>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</si>
  <si>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</si>
  <si>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</si>
  <si>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</si>
  <si>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</si>
  <si>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</si>
  <si>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</si>
  <si>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</si>
  <si>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</si>
  <si>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</si>
  <si>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</si>
  <si>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</si>
  <si>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</si>
  <si>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</si>
  <si>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</si>
  <si>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</si>
  <si>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</si>
  <si>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</si>
  <si>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</si>
  <si>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</si>
  <si>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</si>
  <si>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</si>
  <si>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</si>
  <si>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</si>
  <si>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</si>
  <si>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</si>
  <si>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</si>
  <si>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</si>
  <si>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</si>
  <si>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</si>
  <si>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</si>
  <si>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</si>
  <si>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</si>
  <si>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</si>
  <si>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</si>
  <si>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</si>
  <si>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</si>
  <si>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</si>
  <si>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</si>
  <si>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</si>
  <si>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</si>
  <si>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</si>
  <si>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</si>
  <si>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</si>
  <si>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</si>
  <si>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</si>
  <si>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</si>
  <si>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</si>
  <si>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</si>
  <si>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</si>
  <si>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</si>
  <si>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</si>
  <si>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</si>
  <si>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</si>
  <si>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</si>
  <si>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</si>
  <si>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</si>
  <si>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</si>
  <si>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</si>
  <si>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</si>
  <si>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</si>
  <si>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</si>
  <si>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</si>
  <si>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</si>
  <si>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</si>
  <si>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</si>
  <si>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</si>
  <si>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</si>
  <si>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</si>
  <si>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</si>
  <si>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</si>
  <si>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</si>
  <si>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</si>
  <si>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</si>
  <si>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</si>
  <si>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</si>
  <si>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</si>
  <si>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</si>
  <si>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</si>
  <si>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</si>
  <si>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</si>
  <si>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</si>
  <si>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</si>
  <si>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</si>
  <si>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</si>
  <si>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</si>
  <si>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</si>
  <si>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</si>
  <si>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</si>
  <si>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</si>
  <si>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</si>
  <si>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</si>
  <si>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</si>
  <si>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</si>
  <si>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</si>
  <si>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</si>
  <si>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</si>
  <si>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</si>
  <si>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</si>
  <si>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</si>
  <si>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</si>
  <si>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</si>
  <si>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</si>
  <si>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</si>
  <si>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</si>
  <si>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</si>
  <si>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</si>
  <si>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</si>
  <si>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</si>
  <si>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</si>
  <si>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</si>
  <si>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</si>
  <si>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</si>
  <si>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</si>
  <si>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</si>
  <si>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</si>
  <si>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</si>
  <si>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</si>
  <si>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</si>
  <si>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</si>
  <si>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</si>
  <si>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</si>
  <si>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</si>
  <si>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</si>
  <si>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</si>
  <si>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</si>
  <si>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</si>
  <si>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</si>
  <si>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</si>
  <si>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</si>
  <si>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</si>
  <si>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</si>
  <si>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</si>
  <si>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</si>
  <si>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</si>
  <si>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</si>
  <si>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</si>
  <si>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</si>
  <si>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</si>
  <si>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</si>
  <si>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</si>
  <si>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</si>
  <si>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</si>
  <si>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</si>
  <si>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</si>
  <si>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</si>
  <si>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</si>
  <si>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</si>
  <si>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</si>
  <si>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</si>
  <si>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</si>
  <si>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</si>
  <si>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</si>
  <si>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</si>
  <si>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</si>
  <si>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</si>
  <si>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</si>
  <si>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</si>
  <si>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</si>
  <si>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</si>
  <si>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</si>
  <si>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</si>
  <si>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</si>
  <si>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</si>
  <si>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</si>
  <si>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</si>
  <si>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</si>
  <si>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</si>
  <si>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</si>
  <si>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</si>
  <si>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</si>
  <si>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</si>
  <si>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</si>
  <si>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</si>
  <si>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</si>
  <si>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</si>
  <si>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</si>
  <si>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</si>
  <si>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</si>
  <si>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</si>
  <si>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</si>
  <si>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</si>
  <si>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</si>
  <si>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</si>
  <si>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</si>
  <si>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</si>
  <si>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</si>
  <si>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</si>
  <si>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</si>
  <si>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</si>
  <si>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</si>
  <si>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</si>
  <si>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</si>
  <si>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</si>
  <si>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</si>
  <si>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</si>
  <si>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</si>
  <si>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</si>
  <si>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</si>
  <si>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</si>
  <si>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</si>
  <si>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</si>
  <si>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</si>
  <si>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</si>
  <si>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</si>
  <si>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0981.HK</t>
  </si>
  <si>
    <t>SMIC</t>
  </si>
  <si>
    <t>USD</t>
  </si>
  <si>
    <t>Fast Growers</t>
  </si>
  <si>
    <t>晶圓銷售</t>
  </si>
  <si>
    <t>掩膜製造、測試及其他</t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</si>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</sst>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2" tint="-0.14999847407452621"/>
        <bgColor rgb="FFFFE599"/>
      </patternFill>
    </fill>
  </fills>
  <borders count="10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73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2" fillId="9" borderId="13" xfId="0" applyNumberFormat="1" applyFont="1" applyFill="1" applyBorder="1" applyAlignment="1">
      <alignment horizontal="center"/>
    </xf>
    <xf numFmtId="3" fontId="7" fillId="8" borderId="13" xfId="0" applyNumberFormat="1" applyFont="1" applyFill="1" applyBorder="1"/>
    <xf numFmtId="3" fontId="2" fillId="0" borderId="9" xfId="0" applyNumberFormat="1" applyFont="1" applyBorder="1" applyAlignment="1">
      <alignment horizontal="center"/>
    </xf>
    <xf numFmtId="3" fontId="7" fillId="0" borderId="9" xfId="0" applyNumberFormat="1" applyFont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78" fontId="2" fillId="25" borderId="26" xfId="0" applyNumberFormat="1" applyFont="1" applyFill="1" applyBorder="1" applyAlignment="1">
      <alignment horizontal="center"/>
    </xf>
    <xf numFmtId="178" fontId="2" fillId="25" borderId="33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178" fontId="2" fillId="25" borderId="17" xfId="0" applyNumberFormat="1" applyFont="1" applyFill="1" applyBorder="1" applyAlignment="1">
      <alignment horizontal="center"/>
    </xf>
    <xf numFmtId="178" fontId="7" fillId="10" borderId="17" xfId="0" applyNumberFormat="1" applyFont="1" applyFill="1" applyBorder="1"/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171" fontId="1" fillId="0" borderId="20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2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7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zoomScaleNormal="100" workbookViewId="0">
      <selection activeCell="J12" sqref="J12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8" t="str">
        <f>C3&amp;" : "&amp;C4</f>
        <v>0981.HK : SMIC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88" t="s">
        <v>303</v>
      </c>
      <c r="D3" s="389"/>
      <c r="E3" s="15"/>
      <c r="G3" s="7" t="s">
        <v>2</v>
      </c>
      <c r="I3" s="398" t="s">
        <v>3</v>
      </c>
      <c r="J3" s="399"/>
    </row>
    <row r="4" spans="1:12" ht="15.75" customHeight="1" x14ac:dyDescent="0.3">
      <c r="B4" s="5" t="s">
        <v>4</v>
      </c>
      <c r="C4" s="390" t="s">
        <v>304</v>
      </c>
      <c r="D4" s="391"/>
      <c r="E4" s="6"/>
      <c r="G4" s="5" t="s">
        <v>5</v>
      </c>
      <c r="I4" s="32">
        <v>16.5</v>
      </c>
      <c r="J4" s="33" t="s">
        <v>6</v>
      </c>
      <c r="K4" s="152"/>
    </row>
    <row r="5" spans="1:12" ht="15.75" customHeight="1" x14ac:dyDescent="0.3">
      <c r="B5" s="5" t="s">
        <v>7</v>
      </c>
      <c r="C5" s="392">
        <v>44987</v>
      </c>
      <c r="D5" s="391"/>
      <c r="E5" s="122" t="str">
        <f ca="1">IF(C5+30&gt;=TODAY(),"Patience Premium","")</f>
        <v>Patience Premium</v>
      </c>
      <c r="G5" s="5" t="s">
        <v>8</v>
      </c>
      <c r="I5" s="400">
        <v>7913203590</v>
      </c>
      <c r="J5" s="401"/>
      <c r="K5" s="151"/>
      <c r="L5" s="85"/>
    </row>
    <row r="6" spans="1:12" ht="15.75" customHeight="1" x14ac:dyDescent="0.3">
      <c r="B6" s="12" t="s">
        <v>251</v>
      </c>
      <c r="C6" s="270">
        <v>8</v>
      </c>
      <c r="D6" s="271">
        <f>EOMONTH(EDATE(Asset_Model!D9,C6),0)</f>
        <v>45169</v>
      </c>
      <c r="E6" s="353">
        <f>Data!C3</f>
        <v>44561</v>
      </c>
      <c r="G6" s="134" t="s">
        <v>9</v>
      </c>
      <c r="H6" s="133"/>
      <c r="I6" s="402">
        <f>I4*I5/1000000</f>
        <v>130567.859235</v>
      </c>
      <c r="J6" s="403"/>
      <c r="K6" s="151"/>
    </row>
    <row r="7" spans="1:12" ht="15.75" customHeight="1" x14ac:dyDescent="0.3">
      <c r="B7" s="139" t="s">
        <v>10</v>
      </c>
      <c r="C7" s="145">
        <f>(Data!C39*Exchange_Rate)/I4</f>
        <v>0</v>
      </c>
      <c r="D7" s="145">
        <f>(Data!C40*Exchange_Rate)/I4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1"/>
      <c r="D9" s="299"/>
      <c r="E9" s="5"/>
      <c r="G9" s="5" t="s">
        <v>13</v>
      </c>
      <c r="I9" s="121">
        <f>IF(Data!F3&lt;=0,"NNI",I4/((Data!F3*I12)/(I5/Data!C4)))</f>
        <v>9.7750892525684829</v>
      </c>
      <c r="J9" s="48">
        <f>IF(I9="NNI","NNI",1/I9)</f>
        <v>0.10230085620315355</v>
      </c>
    </row>
    <row r="10" spans="1:12" ht="15.75" customHeight="1" x14ac:dyDescent="0.3">
      <c r="B10" s="3" t="s">
        <v>268</v>
      </c>
      <c r="C10" s="300" t="s">
        <v>269</v>
      </c>
      <c r="D10" s="300">
        <v>2.92E-2</v>
      </c>
      <c r="E10" s="5"/>
      <c r="G10" s="5" t="s">
        <v>14</v>
      </c>
      <c r="I10" s="138">
        <f>I4/(Data!C28*I12*Data!C4/Common_Shares)</f>
        <v>0.65391859216964421</v>
      </c>
      <c r="J10" s="130">
        <f>IF(Asset_Model!D60/'FCFF Model'!C4&lt;0,"Negative EV",Asset_Model!D60/'FCFF Model'!C4)</f>
        <v>219.83696630951542</v>
      </c>
    </row>
    <row r="11" spans="1:12" ht="15.75" customHeight="1" thickBot="1" x14ac:dyDescent="0.35">
      <c r="B11" s="313" t="s">
        <v>272</v>
      </c>
      <c r="C11" s="412">
        <f ca="1">C12-D10</f>
        <v>6.6799999999999998E-2</v>
      </c>
      <c r="D11" s="413"/>
      <c r="E11" s="13"/>
      <c r="G11" s="5" t="s">
        <v>15</v>
      </c>
      <c r="H11" s="6"/>
      <c r="I11" s="410" t="s">
        <v>305</v>
      </c>
      <c r="J11" s="411"/>
    </row>
    <row r="12" spans="1:12" ht="15.75" customHeight="1" thickTop="1" x14ac:dyDescent="0.3">
      <c r="B12" s="314" t="s">
        <v>145</v>
      </c>
      <c r="C12" s="365">
        <f ca="1">IF(C10="CN",8%,6%)*IF($C$5+30&gt;=TODAY(),1.2,1)</f>
        <v>9.6000000000000002E-2</v>
      </c>
      <c r="D12" s="366"/>
      <c r="G12" s="134" t="s">
        <v>16</v>
      </c>
      <c r="H12" s="133"/>
      <c r="I12" s="135">
        <v>7.8492325077690932</v>
      </c>
      <c r="J12" s="136" t="str">
        <f>IF(I11=Dashboard!J4,J4,I11&amp;"/"&amp;Dashboard!J4)</f>
        <v>USD/HKD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212</v>
      </c>
      <c r="D14" s="184">
        <f ca="1">MIN('FCFF Model'!C30,'FCFF Model'!E30)</f>
        <v>7.2224006890596284</v>
      </c>
      <c r="E14" s="127" t="s">
        <v>229</v>
      </c>
      <c r="F14" s="184">
        <f ca="1">MAX('FCFF Model'!C30,'FCFF Model'!E30)</f>
        <v>27.059421720758852</v>
      </c>
      <c r="G14" s="185" t="s">
        <v>24</v>
      </c>
      <c r="H14" s="193">
        <f ca="1">IF('FCFF Model'!C33&lt;0, "Error", 'FCFF Model'!C33)</f>
        <v>19.681601772761738</v>
      </c>
      <c r="I14" s="133"/>
      <c r="J14" s="133"/>
    </row>
    <row r="15" spans="1:12" ht="15.75" customHeight="1" x14ac:dyDescent="0.3">
      <c r="A15" s="6"/>
      <c r="B15" s="96"/>
      <c r="C15" s="238" t="s">
        <v>245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16.5</v>
      </c>
      <c r="C16" s="379">
        <v>0.1</v>
      </c>
      <c r="D16" s="159">
        <f ca="1">H14/B16-1-C16</f>
        <v>9.2824349864347816E-2</v>
      </c>
      <c r="E16" s="372">
        <f>'FCFF Model'!D11*Exchange_Rate</f>
        <v>0</v>
      </c>
      <c r="F16" s="161">
        <f>E16/B16</f>
        <v>0</v>
      </c>
      <c r="G16" s="382" t="s">
        <v>25</v>
      </c>
      <c r="H16" s="404">
        <f>('FCFF Model'!G19)*Exchange_Rate</f>
        <v>-2.308568405350901</v>
      </c>
      <c r="I16" s="382" t="s">
        <v>26</v>
      </c>
      <c r="J16" s="206">
        <f>B16-$H$16</f>
        <v>18.808568405350901</v>
      </c>
    </row>
    <row r="17" spans="1:10" ht="15.75" customHeight="1" x14ac:dyDescent="0.3">
      <c r="B17" s="290">
        <f ca="1">H14/(1+C16)</f>
        <v>17.892365247965216</v>
      </c>
      <c r="C17" s="380"/>
      <c r="D17" s="289">
        <f ca="1">H14/B17-1-C16</f>
        <v>0</v>
      </c>
      <c r="E17" s="373"/>
      <c r="F17" s="162">
        <f ca="1">E16/B17</f>
        <v>0</v>
      </c>
      <c r="G17" s="383"/>
      <c r="H17" s="405"/>
      <c r="I17" s="383"/>
      <c r="J17" s="205">
        <f ca="1">B17-$H$16</f>
        <v>20.200933653316117</v>
      </c>
    </row>
    <row r="18" spans="1:10" ht="15.75" customHeight="1" x14ac:dyDescent="0.3">
      <c r="B18" s="356">
        <f>C35</f>
        <v>15</v>
      </c>
      <c r="C18" s="381"/>
      <c r="D18" s="160">
        <f ca="1">H14/B18-1-C16</f>
        <v>0.21210678485078258</v>
      </c>
      <c r="E18" s="374"/>
      <c r="F18" s="163">
        <f>E16/B18</f>
        <v>0</v>
      </c>
      <c r="G18" s="384"/>
      <c r="H18" s="406"/>
      <c r="I18" s="384"/>
      <c r="J18" s="207">
        <f>B18-$H$16</f>
        <v>17.308568405350901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249</v>
      </c>
      <c r="D20" s="291" t="s">
        <v>306</v>
      </c>
      <c r="E20" s="266" t="s">
        <v>259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95"/>
      <c r="D21" s="396"/>
      <c r="E21" s="396"/>
      <c r="F21" s="396"/>
      <c r="G21" s="396"/>
      <c r="H21" s="396"/>
      <c r="I21" s="396"/>
      <c r="J21" s="397"/>
    </row>
    <row r="22" spans="1:10" ht="52.5" customHeight="1" x14ac:dyDescent="0.3">
      <c r="A22" s="6"/>
      <c r="B22" s="24" t="s">
        <v>29</v>
      </c>
      <c r="C22" s="408"/>
      <c r="D22" s="409"/>
      <c r="E22" s="409"/>
      <c r="F22" s="409"/>
      <c r="G22" s="408"/>
      <c r="H22" s="408"/>
      <c r="I22" s="409"/>
      <c r="J22" s="409"/>
    </row>
    <row r="23" spans="1:10" ht="52.5" customHeight="1" x14ac:dyDescent="0.3">
      <c r="A23" s="6"/>
      <c r="B23" s="25" t="s">
        <v>30</v>
      </c>
      <c r="C23" s="375"/>
      <c r="D23" s="376"/>
      <c r="E23" s="376"/>
      <c r="F23" s="376"/>
      <c r="G23" s="375"/>
      <c r="H23" s="375"/>
      <c r="I23" s="376"/>
      <c r="J23" s="376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318</v>
      </c>
      <c r="G25" s="12"/>
      <c r="H25" s="354">
        <v>0.15</v>
      </c>
      <c r="I25" s="30" t="s">
        <v>319</v>
      </c>
      <c r="J25" s="355">
        <f ca="1">H14/(H25+C16+1)</f>
        <v>15.745281418209391</v>
      </c>
    </row>
    <row r="26" spans="1:10" ht="15.75" customHeight="1" x14ac:dyDescent="0.3">
      <c r="B26" s="23" t="s">
        <v>33</v>
      </c>
      <c r="C26" s="393"/>
      <c r="D26" s="394"/>
      <c r="E26" s="377"/>
      <c r="F26" s="378"/>
      <c r="G26" s="367"/>
      <c r="H26" s="368"/>
      <c r="I26" s="407" t="s">
        <v>34</v>
      </c>
      <c r="J26" s="407"/>
    </row>
    <row r="27" spans="1:10" ht="15.75" customHeight="1" x14ac:dyDescent="0.3">
      <c r="B27" s="23" t="s">
        <v>35</v>
      </c>
      <c r="C27" s="371">
        <f>C31/D25</f>
        <v>5.5E-2</v>
      </c>
      <c r="D27" s="370"/>
      <c r="E27" s="369">
        <f>E31/D25</f>
        <v>0.1</v>
      </c>
      <c r="F27" s="370"/>
      <c r="G27" s="386">
        <f>G31/D25</f>
        <v>0</v>
      </c>
      <c r="H27" s="387"/>
      <c r="I27" s="385">
        <f>C27+E27+G27</f>
        <v>0.155</v>
      </c>
      <c r="J27" s="385"/>
    </row>
    <row r="28" spans="1:10" ht="15.75" customHeight="1" x14ac:dyDescent="0.3">
      <c r="B28" s="23" t="s">
        <v>36</v>
      </c>
      <c r="C28" s="359">
        <v>2000</v>
      </c>
      <c r="D28" s="409"/>
      <c r="E28" s="359">
        <v>4000</v>
      </c>
      <c r="F28" s="409"/>
      <c r="G28" s="400"/>
      <c r="H28" s="401"/>
      <c r="I28" s="424">
        <f>C28+E28+G28</f>
        <v>6000</v>
      </c>
      <c r="J28" s="424"/>
    </row>
    <row r="29" spans="1:10" ht="15.75" customHeight="1" x14ac:dyDescent="0.3">
      <c r="B29" s="23" t="s">
        <v>37</v>
      </c>
      <c r="C29" s="434">
        <v>16.5</v>
      </c>
      <c r="D29" s="409"/>
      <c r="E29" s="434">
        <v>15</v>
      </c>
      <c r="F29" s="409"/>
      <c r="G29" s="414"/>
      <c r="H29" s="415"/>
      <c r="I29" s="420"/>
      <c r="J29" s="420"/>
    </row>
    <row r="30" spans="1:10" ht="15.75" customHeight="1" x14ac:dyDescent="0.3">
      <c r="B30" s="23" t="s">
        <v>38</v>
      </c>
      <c r="C30" s="422">
        <f>C29*$I$5/1000000</f>
        <v>130567.859235</v>
      </c>
      <c r="D30" s="429"/>
      <c r="E30" s="422">
        <f>E29*$I$5/1000000</f>
        <v>118698.05385</v>
      </c>
      <c r="F30" s="429"/>
      <c r="G30" s="416">
        <f>G29*$I$5/1000000</f>
        <v>0</v>
      </c>
      <c r="H30" s="417"/>
      <c r="I30" s="421"/>
      <c r="J30" s="421"/>
    </row>
    <row r="31" spans="1:10" ht="15.75" customHeight="1" x14ac:dyDescent="0.3">
      <c r="B31" s="2" t="s">
        <v>39</v>
      </c>
      <c r="C31" s="430">
        <f>C28*C29</f>
        <v>33000</v>
      </c>
      <c r="D31" s="431"/>
      <c r="E31" s="423">
        <f>E28*E29</f>
        <v>60000</v>
      </c>
      <c r="F31" s="432"/>
      <c r="G31" s="418">
        <f>G28*G29</f>
        <v>0</v>
      </c>
      <c r="H31" s="419"/>
      <c r="I31" s="423">
        <f>C31+E31+G31</f>
        <v>93000</v>
      </c>
      <c r="J31" s="423"/>
    </row>
    <row r="32" spans="1:10" ht="15.75" customHeight="1" x14ac:dyDescent="0.3">
      <c r="B32" s="1" t="s">
        <v>40</v>
      </c>
      <c r="C32" s="425"/>
      <c r="D32" s="426"/>
      <c r="E32" s="433">
        <f>IF(C31=0,"-",(C31+E31)/(C28+E28))</f>
        <v>15.5</v>
      </c>
      <c r="F32" s="370"/>
      <c r="G32" s="117"/>
      <c r="H32" s="117"/>
      <c r="I32" s="433">
        <f>IF(I31=0,"",I31/I28)</f>
        <v>15.5</v>
      </c>
      <c r="J32" s="433"/>
    </row>
    <row r="33" spans="2:11" ht="15.75" customHeight="1" x14ac:dyDescent="0.3">
      <c r="B33" s="1" t="s">
        <v>41</v>
      </c>
      <c r="C33" s="427"/>
      <c r="D33" s="428"/>
      <c r="E33" s="422">
        <f>IF(E32="-","-",E32*$I$5/1000000)</f>
        <v>122654.65564500001</v>
      </c>
      <c r="F33" s="429"/>
      <c r="G33" s="118"/>
      <c r="H33" s="118"/>
      <c r="I33" s="422">
        <f>IF(I32="","",I32*$I$5/1000000)</f>
        <v>122654.65564500001</v>
      </c>
      <c r="J33" s="422"/>
    </row>
    <row r="34" spans="2:11" ht="15.75" customHeight="1" x14ac:dyDescent="0.3"/>
    <row r="35" spans="2:11" ht="15.75" customHeight="1" x14ac:dyDescent="0.3">
      <c r="B35" s="146" t="s">
        <v>320</v>
      </c>
      <c r="C35" s="357">
        <v>15</v>
      </c>
      <c r="D35" s="358"/>
      <c r="G35" s="363" t="s">
        <v>322</v>
      </c>
      <c r="H35" s="364"/>
      <c r="I35" s="357">
        <f ca="1">'FCFF Model'!C34*0.8</f>
        <v>32.908772587762407</v>
      </c>
      <c r="J35" s="358"/>
    </row>
    <row r="36" spans="2:11" ht="15.75" customHeight="1" x14ac:dyDescent="0.3">
      <c r="B36" s="146" t="s">
        <v>321</v>
      </c>
      <c r="C36" s="359">
        <f>E28</f>
        <v>4000</v>
      </c>
      <c r="D36" s="360"/>
    </row>
    <row r="37" spans="2:11" ht="15.75" customHeight="1" x14ac:dyDescent="0.3"/>
    <row r="38" spans="2:11" ht="15.75" customHeight="1" x14ac:dyDescent="0.3">
      <c r="J38" s="361"/>
      <c r="K38" s="362"/>
    </row>
    <row r="39" spans="2:11" ht="15.75" customHeight="1" x14ac:dyDescent="0.3"/>
    <row r="40" spans="2:11" ht="15.75" customHeight="1" x14ac:dyDescent="0.3"/>
    <row r="41" spans="2:11" ht="15.75" customHeight="1" x14ac:dyDescent="0.3"/>
    <row r="42" spans="2:11" ht="15.75" customHeight="1" x14ac:dyDescent="0.3"/>
    <row r="43" spans="2:11" ht="15.75" customHeight="1" x14ac:dyDescent="0.3"/>
    <row r="44" spans="2:11" ht="15.75" customHeight="1" x14ac:dyDescent="0.3"/>
    <row r="45" spans="2:11" ht="15.75" customHeight="1" x14ac:dyDescent="0.3"/>
    <row r="46" spans="2:11" ht="15.75" customHeight="1" x14ac:dyDescent="0.3"/>
    <row r="47" spans="2:11" ht="15.75" customHeight="1" x14ac:dyDescent="0.3"/>
    <row r="48" spans="2:11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  <mergeCell ref="G29:H29"/>
    <mergeCell ref="G30:H30"/>
    <mergeCell ref="G31:H31"/>
    <mergeCell ref="G28:H28"/>
    <mergeCell ref="I29:J29"/>
    <mergeCell ref="I30:J30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G26:H26"/>
    <mergeCell ref="E27:F27"/>
    <mergeCell ref="C27:D27"/>
    <mergeCell ref="E16:E18"/>
    <mergeCell ref="G23:J23"/>
    <mergeCell ref="E26:F26"/>
    <mergeCell ref="C16:C18"/>
    <mergeCell ref="G16:G18"/>
    <mergeCell ref="I27:J27"/>
    <mergeCell ref="G27:H27"/>
    <mergeCell ref="C35:D35"/>
    <mergeCell ref="C36:D36"/>
    <mergeCell ref="I35:J35"/>
    <mergeCell ref="J38:K38"/>
    <mergeCell ref="G35:H35"/>
  </mergeCells>
  <conditionalFormatting sqref="I16">
    <cfRule type="cellIs" dxfId="16" priority="22" operator="lessThan">
      <formula>0</formula>
    </cfRule>
  </conditionalFormatting>
  <conditionalFormatting sqref="C26:G26 I26 C28:G29 I28:I29">
    <cfRule type="containsBlanks" priority="16">
      <formula>LEN(TRIM(C26))=0</formula>
    </cfRule>
  </conditionalFormatting>
  <conditionalFormatting sqref="D16 D18">
    <cfRule type="cellIs" dxfId="15" priority="12" operator="lessThan">
      <formula>0</formula>
    </cfRule>
  </conditionalFormatting>
  <conditionalFormatting sqref="H16">
    <cfRule type="cellIs" dxfId="14" priority="7" operator="greaterThan">
      <formula>$B$16</formula>
    </cfRule>
  </conditionalFormatting>
  <conditionalFormatting sqref="H14">
    <cfRule type="cellIs" dxfId="13" priority="4" operator="greaterThan">
      <formula>$B$16</formula>
    </cfRule>
  </conditionalFormatting>
  <conditionalFormatting sqref="C35:D36">
    <cfRule type="containsBlanks" priority="3">
      <formula>LEN(TRIM(C35))=0</formula>
    </cfRule>
  </conditionalFormatting>
  <conditionalFormatting sqref="I35:J35">
    <cfRule type="containsBlanks" priority="2">
      <formula>LEN(TRIM(I35))=0</formula>
    </cfRule>
  </conditionalFormatting>
  <conditionalFormatting sqref="J38:K38">
    <cfRule type="containsBlanks" priority="1">
      <formula>LEN(TRIM(J38))=0</formula>
    </cfRule>
  </conditionalFormatting>
  <dataValidations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18" sqref="D18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1701721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1372425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9">
        <f>C3</f>
        <v>44561</v>
      </c>
      <c r="D6" s="280">
        <f>EOMONTH(EDATE(C6,-12),0)</f>
        <v>44196</v>
      </c>
      <c r="E6" s="280">
        <f t="shared" ref="E6:M6" si="0">EOMONTH(EDATE(D6,-12),0)</f>
        <v>43830</v>
      </c>
      <c r="F6" s="280">
        <f t="shared" si="0"/>
        <v>43465</v>
      </c>
      <c r="G6" s="280">
        <f t="shared" si="0"/>
        <v>43100</v>
      </c>
      <c r="H6" s="280">
        <f t="shared" si="0"/>
        <v>42735</v>
      </c>
      <c r="I6" s="280">
        <f t="shared" si="0"/>
        <v>42369</v>
      </c>
      <c r="J6" s="280">
        <f t="shared" si="0"/>
        <v>42004</v>
      </c>
      <c r="K6" s="280">
        <f t="shared" si="0"/>
        <v>41639</v>
      </c>
      <c r="L6" s="280">
        <f t="shared" si="0"/>
        <v>41274</v>
      </c>
      <c r="M6" s="280">
        <f t="shared" si="0"/>
        <v>40908</v>
      </c>
    </row>
    <row r="7" spans="1:14" ht="15.75" customHeight="1" x14ac:dyDescent="0.3">
      <c r="A7" s="9"/>
      <c r="B7" s="43" t="s">
        <v>45</v>
      </c>
      <c r="C7" s="35">
        <v>5443112</v>
      </c>
      <c r="D7" s="35">
        <v>3906975</v>
      </c>
      <c r="E7" s="35">
        <v>3115672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0.39317809814498439</v>
      </c>
      <c r="D8" s="14">
        <f t="shared" si="1"/>
        <v>0.25397506541125003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3767342</v>
      </c>
      <c r="D9" s="35">
        <v>2986062</v>
      </c>
      <c r="E9" s="35">
        <v>2473213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0.3078698362260413</v>
      </c>
      <c r="D10" s="14">
        <f t="shared" si="2"/>
        <v>0.23570998022766976</v>
      </c>
      <c r="E10" s="14">
        <f t="shared" si="2"/>
        <v>0.20620238587373768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v>303345</v>
      </c>
      <c r="D11" s="35">
        <v>295842</v>
      </c>
      <c r="E11" s="35">
        <v>281760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5.573006765247529E-2</v>
      </c>
      <c r="D12" s="14">
        <f t="shared" si="3"/>
        <v>7.5721498089954514E-2</v>
      </c>
      <c r="E12" s="14">
        <f t="shared" si="3"/>
        <v>9.0433139303495377E-2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0.25213976857356601</v>
      </c>
      <c r="D13" s="14">
        <f t="shared" si="4"/>
        <v>0.15998848213771524</v>
      </c>
      <c r="E13" s="14">
        <f t="shared" si="4"/>
        <v>0.1157692465702423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 t="shared" ref="C14:M14" si="5">IF(C7="","",C7-C9-C11)</f>
        <v>1372425</v>
      </c>
      <c r="D14" s="27">
        <f t="shared" si="5"/>
        <v>625071</v>
      </c>
      <c r="E14" s="27">
        <f t="shared" si="5"/>
        <v>360699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1.1956305763665247</v>
      </c>
      <c r="D15" s="14">
        <f t="shared" ref="D15:M15" si="6">IF(E14="","",IF(ABS(D14+E14)=ABS(D14)+ABS(E14),IF(D14&lt;0,-1,1)*(D14-E14)/E14,"Turn"))</f>
        <v>0.73294353463691331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IF(C14="","",C14*(1-Operation!$D$16))</f>
        <v>1372425</v>
      </c>
      <c r="D16" s="143">
        <f>IF(D14="","",D14*(1-Operation!$D$16))</f>
        <v>625071</v>
      </c>
      <c r="E16" s="143">
        <f>IF(E14="","",E14*(1-Operation!$D$16))</f>
        <v>360699</v>
      </c>
      <c r="F16" s="143" t="str">
        <f>IF(F14="","",F14*(1-Operation!$D$16))</f>
        <v/>
      </c>
      <c r="G16" s="143" t="str">
        <f>IF(G14="","",G14*(1-Operation!$D$16))</f>
        <v/>
      </c>
      <c r="H16" s="143" t="str">
        <f>IF(H14="","",H14*(1-Operation!$D$16))</f>
        <v/>
      </c>
      <c r="I16" s="143" t="str">
        <f>IF(I14="","",I14*(1-Operation!$D$16))</f>
        <v/>
      </c>
      <c r="J16" s="143" t="str">
        <f>IF(J14="","",J14*(1-Operation!$D$16))</f>
        <v/>
      </c>
      <c r="K16" s="143" t="str">
        <f>IF(K14="","",K14*(1-Operation!$D$16))</f>
        <v/>
      </c>
      <c r="L16" s="143" t="str">
        <f>IF(L14="","",L14*(1-Operation!$D$16))</f>
        <v/>
      </c>
      <c r="M16" s="243" t="str">
        <f>IF(M14="","",M14*(1-Operation!$D$16))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0.25213976857356601</v>
      </c>
      <c r="D17" s="129">
        <f t="shared" si="7"/>
        <v>0.15998848213771524</v>
      </c>
      <c r="E17" s="129">
        <f t="shared" si="7"/>
        <v>0.1157692465702423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3">
      <c r="A18" s="9"/>
      <c r="B18" s="44" t="s">
        <v>252</v>
      </c>
      <c r="C18" s="144">
        <v>110143</v>
      </c>
      <c r="D18" s="144">
        <v>73234</v>
      </c>
      <c r="E18" s="144">
        <v>63460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3">
      <c r="A19" s="9"/>
      <c r="B19" s="44" t="s">
        <v>56</v>
      </c>
      <c r="C19" s="35">
        <v>1701721</v>
      </c>
      <c r="D19" s="35">
        <v>707550</v>
      </c>
      <c r="E19" s="35">
        <v>223381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3">
      <c r="A20" s="9"/>
      <c r="B20" s="44" t="s">
        <v>267</v>
      </c>
      <c r="C20" s="14">
        <f>IF(D19="","",IF(ABS(C19+D19)=ABS(C19)+ABS(D19),IF(C19&lt;0,-1,1)*(C19-D19)/D19,"Turn"))</f>
        <v>1.4050893929757615</v>
      </c>
      <c r="D20" s="14">
        <f t="shared" ref="D20:M20" si="8">IF(E19="","",IF(ABS(D19+E19)=ABS(D19)+ABS(E19),IF(D19&lt;0,-1,1)*(D19-E19)/E19,"Turn"))</f>
        <v>2.1674582887532958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15217865</v>
      </c>
      <c r="D21" s="35">
        <v>15171355</v>
      </c>
      <c r="E21" s="35">
        <v>6873841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3">
      <c r="A22" s="9"/>
      <c r="B22" s="44" t="s">
        <v>58</v>
      </c>
      <c r="C22" s="176">
        <v>4453620</v>
      </c>
      <c r="D22" s="35">
        <v>3892710</v>
      </c>
      <c r="E22" s="35">
        <v>3205199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3">
      <c r="A23" s="9"/>
      <c r="B23" s="44" t="s">
        <v>59</v>
      </c>
      <c r="C23" s="176">
        <v>1127572</v>
      </c>
      <c r="D23" s="35">
        <v>1355006</v>
      </c>
      <c r="E23" s="35">
        <v>1560424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3">
      <c r="A24" s="9"/>
      <c r="B24" s="141" t="s">
        <v>60</v>
      </c>
      <c r="C24" s="273">
        <v>100763</v>
      </c>
      <c r="D24" s="140">
        <v>94949</v>
      </c>
      <c r="E24" s="140">
        <v>80651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3">
      <c r="A25" s="9"/>
      <c r="B25" s="44" t="s">
        <v>61</v>
      </c>
      <c r="C25" s="176">
        <v>5644795</v>
      </c>
      <c r="D25" s="35">
        <v>5018411</v>
      </c>
      <c r="E25" s="35">
        <v>2385110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3">
      <c r="A26" s="9"/>
      <c r="B26" s="141" t="s">
        <v>62</v>
      </c>
      <c r="C26" s="175">
        <v>109461</v>
      </c>
      <c r="D26" s="140">
        <v>150321</v>
      </c>
      <c r="E26" s="140">
        <v>167081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6772367</v>
      </c>
      <c r="D27" s="27">
        <f t="shared" si="9"/>
        <v>6373417</v>
      </c>
      <c r="E27" s="27">
        <f t="shared" si="9"/>
        <v>3945534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25438143</v>
      </c>
      <c r="D28" s="35">
        <v>21681738</v>
      </c>
      <c r="E28" s="35">
        <v>10197862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3">
      <c r="A29" s="9"/>
      <c r="B29" s="141" t="s">
        <v>206</v>
      </c>
      <c r="C29" s="175">
        <v>17149664</v>
      </c>
      <c r="D29" s="140">
        <v>15174594</v>
      </c>
      <c r="E29" s="140">
        <v>6233245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3">
      <c r="A30" s="9"/>
      <c r="B30" s="44" t="s">
        <v>65</v>
      </c>
      <c r="C30" s="176">
        <v>14460790</v>
      </c>
      <c r="D30" s="35">
        <v>12373176</v>
      </c>
      <c r="E30" s="35">
        <v>7995850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3">
      <c r="A31" s="9"/>
      <c r="B31" s="44" t="s">
        <v>230</v>
      </c>
      <c r="C31" s="176">
        <v>8581746</v>
      </c>
      <c r="D31" s="35">
        <v>9826537</v>
      </c>
      <c r="E31" s="35">
        <v>2238840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0.14436375882645416</v>
      </c>
      <c r="D32" s="14">
        <f t="shared" si="10"/>
        <v>0.35377545748965344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8">
        <f>IF(D7="","",(C7-D7)*Asset_Model!$D$65)</f>
        <v>-993687.75405870762</v>
      </c>
      <c r="D33" s="248">
        <f>IF(E7="","",(D7-E7)*Asset_Model!$D$65)</f>
        <v>-511873.68109089066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3">
      <c r="A34" s="9"/>
      <c r="B34" s="44" t="s">
        <v>79</v>
      </c>
      <c r="C34" s="143">
        <f>IF(D7="","",C30-D30+C33+IF($C$49="Yes",C51,0))</f>
        <v>1093926.2459412925</v>
      </c>
      <c r="D34" s="143">
        <f>IF(E7="","",D30-E30+D33+IF($C$49="Yes",D51,0))</f>
        <v>3865452.3189091096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3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7" t="s">
        <v>68</v>
      </c>
      <c r="C35" s="239">
        <f t="shared" ref="C35:M35" si="19">IF(C34="","",C34/C16)</f>
        <v>0.797075429215653</v>
      </c>
      <c r="D35" s="239">
        <f t="shared" si="19"/>
        <v>6.1840212054456369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253</v>
      </c>
      <c r="C37" s="165">
        <v>0</v>
      </c>
      <c r="D37" s="165">
        <v>0</v>
      </c>
      <c r="E37" s="165">
        <v>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202</v>
      </c>
      <c r="C39" s="170">
        <f t="shared" ref="C39:M39" si="20">IF(C37="","",C37*$C$4/Common_Shares)</f>
        <v>0</v>
      </c>
      <c r="D39" s="170">
        <f t="shared" si="20"/>
        <v>0</v>
      </c>
      <c r="E39" s="170">
        <f t="shared" si="20"/>
        <v>0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0.22190279376918354</v>
      </c>
      <c r="D42" s="48">
        <f t="shared" ref="D42:M42" si="22">IF(D29="","",D25/D29)</f>
        <v>0.33071138509537717</v>
      </c>
      <c r="E42" s="48">
        <f t="shared" si="22"/>
        <v>0.38264339040098699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248</v>
      </c>
      <c r="C43" s="14">
        <f t="shared" ref="C43:M43" si="23">IF(C29="","",C27/C29)</f>
        <v>0.39489794085761681</v>
      </c>
      <c r="D43" s="14">
        <f t="shared" si="23"/>
        <v>0.42000576753486785</v>
      </c>
      <c r="E43" s="14">
        <f t="shared" si="23"/>
        <v>0.63298233905453738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0.20265071281577032</v>
      </c>
      <c r="D44" s="50">
        <f t="shared" si="24"/>
        <v>9.8074706236858503E-2</v>
      </c>
      <c r="E44" s="50">
        <f t="shared" si="24"/>
        <v>9.1419564500014441E-2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8.0254294405887383E-2</v>
      </c>
      <c r="D45" s="14">
        <f t="shared" si="25"/>
        <v>0.11716109050011919</v>
      </c>
      <c r="E45" s="14">
        <f t="shared" si="25"/>
        <v>0.1759361683841652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3.4169653001378655</v>
      </c>
      <c r="D46" s="51">
        <f t="shared" si="26"/>
        <v>3.8973761210056748</v>
      </c>
      <c r="E46" s="51">
        <f t="shared" si="26"/>
        <v>2.1445910222735001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2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9"/>
      <c r="D50" s="6"/>
      <c r="E50" s="339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40" t="s">
        <v>293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1" t="s">
        <v>294</v>
      </c>
      <c r="C52" s="348" t="str">
        <f>IF(C51="","",C51/C7)</f>
        <v/>
      </c>
      <c r="D52" s="348" t="str">
        <f t="shared" ref="D52:M52" si="27">IF(D51="","",D51/D7)</f>
        <v/>
      </c>
      <c r="E52" s="348" t="str">
        <f t="shared" si="27"/>
        <v/>
      </c>
      <c r="F52" s="348" t="str">
        <f t="shared" si="27"/>
        <v/>
      </c>
      <c r="G52" s="348" t="str">
        <f t="shared" si="27"/>
        <v/>
      </c>
      <c r="H52" s="348" t="str">
        <f>IF(H51="","",H51/H7)</f>
        <v/>
      </c>
      <c r="I52" s="348" t="str">
        <f t="shared" si="27"/>
        <v/>
      </c>
      <c r="J52" s="348" t="str">
        <f t="shared" si="27"/>
        <v/>
      </c>
      <c r="K52" s="348" t="str">
        <f t="shared" si="27"/>
        <v/>
      </c>
      <c r="L52" s="348" t="str">
        <f t="shared" si="27"/>
        <v/>
      </c>
      <c r="M52" s="349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D42:M46 C7:M35">
    <cfRule type="containsBlanks" dxfId="12" priority="3">
      <formula>LEN(TRIM(C7))=0</formula>
    </cfRule>
  </conditionalFormatting>
  <conditionalFormatting sqref="D17:M18">
    <cfRule type="containsBlanks" dxfId="11" priority="4">
      <formula>LEN(TRIM(D17))=0</formula>
    </cfRule>
  </conditionalFormatting>
  <conditionalFormatting sqref="C37:M40">
    <cfRule type="containsBlanks" dxfId="10" priority="5">
      <formula>LEN(TRIM(C37))=0</formula>
    </cfRule>
  </conditionalFormatting>
  <conditionalFormatting sqref="B51:M52">
    <cfRule type="expression" dxfId="9" priority="1">
      <formula>$C$49="No"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tabSelected="1" topLeftCell="A19" workbookViewId="0">
      <selection activeCell="I44" sqref="I44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 x14ac:dyDescent="0.3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7" t="s">
        <v>136</v>
      </c>
    </row>
    <row r="3" spans="1:11" ht="15" customHeight="1" x14ac:dyDescent="0.3">
      <c r="B3" s="5" t="s">
        <v>254</v>
      </c>
      <c r="C3" s="6"/>
      <c r="D3" s="274">
        <v>28961421</v>
      </c>
      <c r="E3" s="156" t="str">
        <f>IF((C46-I46)=D3,"", "Error!")</f>
        <v/>
      </c>
      <c r="F3" s="6"/>
      <c r="G3" s="6"/>
      <c r="H3" s="275" t="s">
        <v>255</v>
      </c>
      <c r="I3" s="276">
        <v>19149976</v>
      </c>
      <c r="K3" s="74"/>
    </row>
    <row r="4" spans="1:11" ht="15" customHeight="1" x14ac:dyDescent="0.3">
      <c r="B4" s="5" t="s">
        <v>221</v>
      </c>
      <c r="C4" s="6"/>
      <c r="D4" s="277">
        <f>D3-I3</f>
        <v>9811445</v>
      </c>
      <c r="E4" s="150"/>
      <c r="F4" s="6"/>
      <c r="G4" s="6"/>
      <c r="H4" s="60" t="s">
        <v>82</v>
      </c>
      <c r="I4" s="91">
        <f>(I3*Dashboard!I12*Data!C4)/Dashboard!I5</f>
        <v>18.995165792543187</v>
      </c>
      <c r="K4" s="74"/>
    </row>
    <row r="5" spans="1:11" ht="15" customHeight="1" x14ac:dyDescent="0.3">
      <c r="D5" s="6"/>
      <c r="E5" s="23" t="s">
        <v>83</v>
      </c>
      <c r="I5" s="6"/>
      <c r="K5" s="74"/>
    </row>
    <row r="6" spans="1:11" ht="15" customHeight="1" x14ac:dyDescent="0.3">
      <c r="B6" s="58" t="s">
        <v>84</v>
      </c>
      <c r="C6" s="6"/>
      <c r="D6" s="59">
        <f>E46-I46-E50</f>
        <v>1369375.2100000009</v>
      </c>
      <c r="E6" s="14">
        <f>1-D6/D3</f>
        <v>0.95271726446019345</v>
      </c>
      <c r="F6" s="6"/>
      <c r="G6" s="6"/>
      <c r="H6" s="3" t="s">
        <v>323</v>
      </c>
      <c r="I6" s="69">
        <f>C26/I26</f>
        <v>2.3678467070628044</v>
      </c>
      <c r="J6" s="6"/>
      <c r="K6" s="74"/>
    </row>
    <row r="7" spans="1:11" ht="15" customHeight="1" thickBot="1" x14ac:dyDescent="0.35">
      <c r="B7" s="53" t="s">
        <v>85</v>
      </c>
      <c r="D7" s="61">
        <f>MAX((D6*Exchange_Rate*Data!C4)/Dashboard!I5, 0)</f>
        <v>1.3583050519827629</v>
      </c>
      <c r="E7" s="49" t="str">
        <f>Dashboard!J4</f>
        <v>HKD</v>
      </c>
      <c r="H7" s="3" t="s">
        <v>324</v>
      </c>
      <c r="I7" s="69">
        <f>C25/I26</f>
        <v>2.0753728614196669</v>
      </c>
      <c r="J7" s="6"/>
      <c r="K7" s="116"/>
    </row>
    <row r="8" spans="1:11" ht="15" customHeight="1" x14ac:dyDescent="0.3">
      <c r="D8" s="6"/>
      <c r="H8" s="3" t="s">
        <v>325</v>
      </c>
      <c r="I8" s="69">
        <f>C24/I26</f>
        <v>1.1367089973436031</v>
      </c>
      <c r="K8" s="74"/>
    </row>
    <row r="9" spans="1:11" ht="15" customHeight="1" x14ac:dyDescent="0.3">
      <c r="A9" s="4"/>
      <c r="B9" s="268" t="s">
        <v>250</v>
      </c>
      <c r="C9" s="255"/>
      <c r="D9" s="272">
        <v>44926</v>
      </c>
      <c r="E9" s="269" t="str">
        <f>IF(D9=Data!C3,"FY","Quarter")</f>
        <v>Quarter</v>
      </c>
      <c r="F9" s="133"/>
      <c r="G9" s="133"/>
      <c r="H9" s="133"/>
      <c r="I9" s="133"/>
      <c r="K9" s="74"/>
    </row>
    <row r="10" spans="1:11" ht="15" customHeight="1" x14ac:dyDescent="0.3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237</v>
      </c>
      <c r="G10" s="6"/>
      <c r="H10" s="63" t="s">
        <v>90</v>
      </c>
      <c r="I10" s="23" t="s">
        <v>87</v>
      </c>
      <c r="K10" s="74"/>
    </row>
    <row r="11" spans="1:11" ht="15" customHeight="1" x14ac:dyDescent="0.3">
      <c r="B11" s="5" t="s">
        <v>91</v>
      </c>
      <c r="C11" s="64">
        <v>6932587</v>
      </c>
      <c r="D11" s="65">
        <v>1</v>
      </c>
      <c r="E11" s="27">
        <f t="shared" ref="E11:E21" si="0">C11*D11</f>
        <v>6932587</v>
      </c>
      <c r="F11" s="6"/>
      <c r="G11" s="6"/>
      <c r="H11" s="5" t="s">
        <v>92</v>
      </c>
      <c r="I11" s="64">
        <v>1268218</v>
      </c>
      <c r="J11" s="6"/>
      <c r="K11" s="74"/>
    </row>
    <row r="12" spans="1:11" ht="14" x14ac:dyDescent="0.3">
      <c r="B12" s="3" t="s">
        <v>93</v>
      </c>
      <c r="C12" s="64">
        <v>676937</v>
      </c>
      <c r="D12" s="65">
        <v>0.98</v>
      </c>
      <c r="E12" s="27">
        <f t="shared" si="0"/>
        <v>663398.26</v>
      </c>
      <c r="F12" s="6"/>
      <c r="G12" s="6"/>
      <c r="H12" s="5" t="s">
        <v>94</v>
      </c>
      <c r="I12" s="64">
        <v>51849</v>
      </c>
      <c r="J12" s="6"/>
      <c r="K12" s="74"/>
    </row>
    <row r="13" spans="1:11" ht="14" x14ac:dyDescent="0.3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4" x14ac:dyDescent="0.3">
      <c r="B14" s="5" t="s">
        <v>97</v>
      </c>
      <c r="C14" s="64">
        <v>375776</v>
      </c>
      <c r="D14" s="65">
        <v>0.85</v>
      </c>
      <c r="E14" s="27">
        <f t="shared" si="0"/>
        <v>319409.59999999998</v>
      </c>
      <c r="F14" s="6"/>
      <c r="G14" s="6"/>
      <c r="H14" s="3" t="s">
        <v>98</v>
      </c>
      <c r="I14" s="64">
        <v>45217</v>
      </c>
      <c r="J14" s="6"/>
      <c r="K14" s="79"/>
    </row>
    <row r="15" spans="1:11" ht="14" x14ac:dyDescent="0.3">
      <c r="B15" s="5" t="s">
        <v>99</v>
      </c>
      <c r="C15" s="64">
        <f>5122706+22030</f>
        <v>5144736</v>
      </c>
      <c r="D15" s="65">
        <v>0.7</v>
      </c>
      <c r="E15" s="27">
        <f t="shared" si="0"/>
        <v>3601315.1999999997</v>
      </c>
      <c r="G15" s="6"/>
      <c r="H15" s="5" t="s">
        <v>100</v>
      </c>
      <c r="I15" s="155">
        <f>I26-SUM(I11:I14)</f>
        <v>5659645</v>
      </c>
      <c r="J15" s="6"/>
    </row>
    <row r="16" spans="1:11" ht="14" x14ac:dyDescent="0.3">
      <c r="B16" s="3" t="s">
        <v>98</v>
      </c>
      <c r="C16" s="64">
        <v>146669</v>
      </c>
      <c r="D16" s="65">
        <v>0.6</v>
      </c>
      <c r="E16" s="27">
        <f t="shared" si="0"/>
        <v>88001.4</v>
      </c>
      <c r="F16" s="204" t="s">
        <v>238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101</v>
      </c>
      <c r="C17" s="64">
        <v>1302642</v>
      </c>
      <c r="D17" s="65">
        <v>0.6</v>
      </c>
      <c r="E17" s="27">
        <f t="shared" si="0"/>
        <v>781585.2</v>
      </c>
      <c r="F17" s="6"/>
      <c r="G17" s="6"/>
      <c r="H17" s="5"/>
      <c r="I17" s="154"/>
      <c r="J17" s="6"/>
    </row>
    <row r="18" spans="2:10" ht="14" x14ac:dyDescent="0.3">
      <c r="B18" s="5" t="s">
        <v>102</v>
      </c>
      <c r="C18" s="64">
        <v>1911487</v>
      </c>
      <c r="D18" s="65">
        <v>0.6</v>
      </c>
      <c r="E18" s="27">
        <f t="shared" si="0"/>
        <v>1146892.2</v>
      </c>
      <c r="G18" s="6"/>
    </row>
    <row r="19" spans="2:10" ht="14" x14ac:dyDescent="0.3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238</v>
      </c>
      <c r="G19" s="94">
        <f>IF(F19="Y",0,1)</f>
        <v>0</v>
      </c>
      <c r="H19" s="5"/>
      <c r="I19" s="154"/>
    </row>
    <row r="20" spans="2:10" ht="14" x14ac:dyDescent="0.3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238</v>
      </c>
      <c r="G20" s="94">
        <f>IF(F20="Y",0,1)</f>
        <v>0</v>
      </c>
      <c r="H20" s="5"/>
      <c r="I20" s="154"/>
    </row>
    <row r="21" spans="2:10" ht="14" x14ac:dyDescent="0.3">
      <c r="B21" s="5" t="s">
        <v>105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106</v>
      </c>
      <c r="C22" s="64">
        <v>143121</v>
      </c>
      <c r="D22" s="65">
        <v>0.2</v>
      </c>
      <c r="E22" s="27">
        <f t="shared" ref="E22" si="1">C22*D22</f>
        <v>28624.2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107</v>
      </c>
      <c r="C24" s="70">
        <f>SUM(C11:C14)</f>
        <v>7985300</v>
      </c>
      <c r="D24" s="68">
        <f>IF(E24=0,0,E24/C24)</f>
        <v>0.99124577160532468</v>
      </c>
      <c r="E24" s="27">
        <f>SUM(E11:E14)</f>
        <v>7915394.8599999994</v>
      </c>
      <c r="F24" s="6"/>
      <c r="G24" s="6"/>
      <c r="H24" s="66" t="s">
        <v>326</v>
      </c>
      <c r="I24" s="69">
        <f>E24/($I$26-I15)</f>
        <v>5.7976178289645226</v>
      </c>
      <c r="J24" s="13" t="str">
        <f>IF(I24&lt;1,"Liquidity Problem!","")</f>
        <v/>
      </c>
    </row>
    <row r="25" spans="2:10" ht="15" customHeight="1" x14ac:dyDescent="0.3">
      <c r="B25" s="66" t="s">
        <v>108</v>
      </c>
      <c r="C25" s="70">
        <f>C24+SUM(C15:C17)</f>
        <v>14579347</v>
      </c>
      <c r="D25" s="68">
        <f>IF(E25=0,0,E25/C25)</f>
        <v>0.84957828769697297</v>
      </c>
      <c r="E25" s="27">
        <f>E24+SUM(E15:E17)</f>
        <v>12386296.66</v>
      </c>
      <c r="F25" s="6"/>
      <c r="G25" s="6"/>
      <c r="H25" s="66" t="s">
        <v>330</v>
      </c>
      <c r="I25" s="69">
        <f>E25/$I$26</f>
        <v>1.763191721937688</v>
      </c>
      <c r="J25" s="13" t="str">
        <f>IF(OR(I25&lt;0.75,C26&lt;I26),"Liquidity Problem!","")</f>
        <v/>
      </c>
    </row>
    <row r="26" spans="2:10" ht="15" customHeight="1" x14ac:dyDescent="0.3">
      <c r="B26" s="5" t="s">
        <v>109</v>
      </c>
      <c r="C26" s="70">
        <f>SUM(C11:C22)</f>
        <v>16633955</v>
      </c>
      <c r="D26" s="14">
        <f t="shared" ref="D26" si="2">E26/C26</f>
        <v>0.81530899055576356</v>
      </c>
      <c r="E26" s="27">
        <f>SUM(E11:E22)</f>
        <v>13561813.059999997</v>
      </c>
      <c r="H26" s="5" t="s">
        <v>58</v>
      </c>
      <c r="I26" s="64">
        <v>7024929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237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f>6718304+598379</f>
        <v>7316683</v>
      </c>
      <c r="J28" s="6"/>
    </row>
    <row r="29" spans="2:10" ht="15" customHeight="1" x14ac:dyDescent="0.3">
      <c r="B29" s="5" t="s">
        <v>112</v>
      </c>
      <c r="C29" s="64">
        <v>208307</v>
      </c>
      <c r="D29" s="65">
        <v>0.85</v>
      </c>
      <c r="E29" s="27">
        <f t="shared" ref="E29:E40" si="3">C29*D29</f>
        <v>177060.94999999998</v>
      </c>
      <c r="F29" s="6"/>
      <c r="G29" s="6"/>
      <c r="H29" s="5" t="s">
        <v>113</v>
      </c>
      <c r="I29" s="64">
        <v>57682</v>
      </c>
      <c r="J29" s="6"/>
    </row>
    <row r="30" spans="2:10" ht="15" customHeight="1" x14ac:dyDescent="0.3">
      <c r="B30" s="5" t="s">
        <v>114</v>
      </c>
      <c r="C30" s="64">
        <v>5553445</v>
      </c>
      <c r="D30" s="65">
        <v>0.6</v>
      </c>
      <c r="E30" s="27">
        <f t="shared" si="3"/>
        <v>3332067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32958</v>
      </c>
      <c r="D31" s="65">
        <v>0.5</v>
      </c>
      <c r="E31" s="27">
        <f t="shared" si="3"/>
        <v>16479</v>
      </c>
      <c r="F31" s="204" t="s">
        <v>238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f>I42-SUM(I28:I31)</f>
        <v>447069</v>
      </c>
      <c r="J32" s="6"/>
    </row>
    <row r="33" spans="2:10" ht="14" x14ac:dyDescent="0.3">
      <c r="B33" s="5" t="s">
        <v>119</v>
      </c>
      <c r="C33" s="64">
        <f>1912042+9051</f>
        <v>1921093</v>
      </c>
      <c r="D33" s="65">
        <v>0.6</v>
      </c>
      <c r="E33" s="220">
        <f t="shared" si="3"/>
        <v>1152655.8</v>
      </c>
      <c r="F33" s="204" t="s">
        <v>239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238</v>
      </c>
      <c r="G34" s="94">
        <f>IF(F34="Y",0,1)</f>
        <v>0</v>
      </c>
    </row>
    <row r="35" spans="2:10" ht="14" x14ac:dyDescent="0.3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238</v>
      </c>
      <c r="G35" s="94">
        <f>IF(F35="Y",0,1)</f>
        <v>0</v>
      </c>
    </row>
    <row r="36" spans="2:10" ht="15" customHeight="1" x14ac:dyDescent="0.3">
      <c r="B36" s="5" t="s">
        <v>298</v>
      </c>
      <c r="C36" s="64">
        <f>18855532+529795</f>
        <v>19385327</v>
      </c>
      <c r="D36" s="65">
        <v>0.4</v>
      </c>
      <c r="E36" s="27">
        <f t="shared" si="3"/>
        <v>7754130.8000000007</v>
      </c>
      <c r="F36" s="6"/>
      <c r="G36" s="6"/>
    </row>
    <row r="37" spans="2:10" ht="14" x14ac:dyDescent="0.3">
      <c r="B37" s="5" t="s">
        <v>299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v>45331</v>
      </c>
      <c r="D38" s="65">
        <v>0.4</v>
      </c>
      <c r="E38" s="27">
        <f t="shared" si="3"/>
        <v>18132.400000000001</v>
      </c>
      <c r="F38" s="6"/>
      <c r="G38" s="6"/>
    </row>
    <row r="39" spans="2:10" ht="15" customHeight="1" x14ac:dyDescent="0.3">
      <c r="B39" s="5" t="s">
        <v>122</v>
      </c>
      <c r="C39" s="64">
        <v>14244</v>
      </c>
      <c r="D39" s="65">
        <v>0.95</v>
      </c>
      <c r="E39" s="27">
        <f t="shared" si="3"/>
        <v>13531.8</v>
      </c>
      <c r="F39" s="6"/>
      <c r="G39" s="6"/>
    </row>
    <row r="40" spans="2:10" ht="15" customHeight="1" x14ac:dyDescent="0.3">
      <c r="B40" s="5" t="s">
        <v>123</v>
      </c>
      <c r="C40" s="64">
        <v>13124</v>
      </c>
      <c r="D40" s="65">
        <v>0.1</v>
      </c>
      <c r="E40" s="27">
        <f t="shared" si="3"/>
        <v>1312.4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27173829</v>
      </c>
      <c r="D42" s="14">
        <f>E42/C42</f>
        <v>0.45872704027099021</v>
      </c>
      <c r="E42" s="27">
        <f>SUM(E28:E40)</f>
        <v>12465370.150000002</v>
      </c>
      <c r="F42" s="6"/>
      <c r="G42" s="6"/>
      <c r="H42" s="5" t="s">
        <v>125</v>
      </c>
      <c r="I42" s="64">
        <v>7821434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8193607</v>
      </c>
      <c r="D44" s="68">
        <f>IF(E44=0,0,E44/C44)</f>
        <v>0.98765486433508465</v>
      </c>
      <c r="E44" s="27">
        <f>E24+SUM(E28:E29)</f>
        <v>8092455.8099999996</v>
      </c>
      <c r="F44" s="6"/>
      <c r="G44" s="6"/>
      <c r="H44" s="66" t="s">
        <v>327</v>
      </c>
      <c r="I44" s="69">
        <f>E44/(I46-I15-I32)</f>
        <v>0.92594746196328936</v>
      </c>
      <c r="J44" s="13" t="str">
        <f>IF(I44&lt;1,"Liquidity Problem!","")</f>
        <v>Liquidity Problem!</v>
      </c>
    </row>
    <row r="45" spans="2:10" ht="15" customHeight="1" x14ac:dyDescent="0.3">
      <c r="B45" s="66" t="s">
        <v>127</v>
      </c>
      <c r="C45" s="70">
        <f>C44+(C25-C24)+SUM(C30:C33)</f>
        <v>22295150</v>
      </c>
      <c r="D45" s="68">
        <f>IF(E45=0,0,E45/C45)</f>
        <v>0.7653933438438405</v>
      </c>
      <c r="E45" s="27">
        <f>E44+(E25-E24)+SUM(E30:E33)</f>
        <v>17064559.41</v>
      </c>
      <c r="F45" s="6"/>
      <c r="G45" s="6"/>
      <c r="H45" s="66" t="s">
        <v>331</v>
      </c>
      <c r="I45" s="69">
        <f>E45/$I$46</f>
        <v>1.1494100885179757</v>
      </c>
      <c r="J45" s="13" t="str">
        <f>IF(OR(I45&lt;0.5,C46&lt;I46),"Liquidity Problem!","")</f>
        <v/>
      </c>
    </row>
    <row r="46" spans="2:10" ht="15" customHeight="1" x14ac:dyDescent="0.3">
      <c r="B46" s="5" t="s">
        <v>128</v>
      </c>
      <c r="C46" s="70">
        <f>C26+C42</f>
        <v>43807784</v>
      </c>
      <c r="D46" s="14">
        <f>E46/C46</f>
        <v>0.59412234159116561</v>
      </c>
      <c r="E46" s="27">
        <f>E26+E42</f>
        <v>26027183.210000001</v>
      </c>
      <c r="F46" s="6"/>
      <c r="G46" s="6"/>
      <c r="H46" s="5" t="s">
        <v>328</v>
      </c>
      <c r="I46" s="155">
        <f>I26+I42</f>
        <v>14846363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129</v>
      </c>
      <c r="C48" s="21"/>
      <c r="D48" s="52"/>
    </row>
    <row r="49" spans="2:9" ht="14" x14ac:dyDescent="0.3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204</v>
      </c>
      <c r="C50" s="218">
        <f>D4</f>
        <v>9811445</v>
      </c>
      <c r="D50" s="214">
        <f>IF(E50=0, 0,E50/C50)</f>
        <v>1</v>
      </c>
      <c r="E50" s="218">
        <f>MAX(C50,C50*Dashboard!I10)</f>
        <v>9811445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261</v>
      </c>
      <c r="C52" s="5"/>
      <c r="D52" s="435">
        <f>D53+D54+D55</f>
        <v>8694432</v>
      </c>
      <c r="E52" s="436"/>
      <c r="F52" s="53"/>
      <c r="G52" s="53"/>
    </row>
    <row r="53" spans="2:9" ht="14.5" thickTop="1" x14ac:dyDescent="0.3">
      <c r="B53" s="58" t="s">
        <v>231</v>
      </c>
      <c r="C53" s="6"/>
      <c r="D53" s="438">
        <f>SUM(I11:I13)+SUM(I28:I30)</f>
        <v>8694432</v>
      </c>
      <c r="E53" s="431"/>
      <c r="F53" s="5"/>
      <c r="G53" s="5"/>
      <c r="H53" s="3" t="s">
        <v>329</v>
      </c>
      <c r="I53" s="14">
        <f>D53/I3</f>
        <v>0.45401790581878537</v>
      </c>
    </row>
    <row r="54" spans="2:9" ht="14" x14ac:dyDescent="0.3">
      <c r="B54" s="58" t="s">
        <v>131</v>
      </c>
      <c r="C54" s="6"/>
      <c r="D54" s="445">
        <v>0</v>
      </c>
      <c r="E54" s="409"/>
      <c r="F54" s="6" t="s">
        <v>132</v>
      </c>
      <c r="G54" s="6"/>
    </row>
    <row r="55" spans="2:9" ht="12.75" customHeight="1" x14ac:dyDescent="0.3">
      <c r="B55" s="58" t="s">
        <v>130</v>
      </c>
      <c r="C55" s="6"/>
      <c r="D55" s="445">
        <v>0</v>
      </c>
      <c r="E55" s="409"/>
      <c r="F55" s="5" t="s">
        <v>133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134</v>
      </c>
      <c r="C57" s="5"/>
      <c r="D57" s="437"/>
      <c r="E57" s="437"/>
      <c r="F57" s="19"/>
      <c r="G57" s="19"/>
    </row>
    <row r="58" spans="2:9" ht="15" customHeight="1" x14ac:dyDescent="0.3">
      <c r="B58" s="53" t="s">
        <v>232</v>
      </c>
      <c r="C58" s="213">
        <f>C14+C15+(C19*G19)+(C20*G20)+C29+C30+(C31*G31)+(C33*G33)+(C34*G34)+(C35*G35)</f>
        <v>13203357</v>
      </c>
      <c r="D58" s="129">
        <f>IF(E58=0,0,E58/C58)</f>
        <v>0.65002472855956261</v>
      </c>
      <c r="E58" s="221">
        <f>E14+E15+(E19*G19)+(E20*G20)+E29+E30+(E31*G31)+(E33*G33)+(E34*G34)+(E35*G35)</f>
        <v>8582508.5500000007</v>
      </c>
      <c r="H58" s="6"/>
    </row>
    <row r="59" spans="2:9" ht="14" x14ac:dyDescent="0.3">
      <c r="B59" s="53" t="s">
        <v>91</v>
      </c>
      <c r="C59" s="213">
        <f>C11+C12+C28</f>
        <v>7609524</v>
      </c>
      <c r="D59" s="214">
        <f>IF(E59=0,0,E59/C59)</f>
        <v>0.99822081644002958</v>
      </c>
      <c r="E59" s="215">
        <f>E11+E12+E28</f>
        <v>7595985.2599999998</v>
      </c>
      <c r="F59" s="6"/>
      <c r="G59" s="6"/>
    </row>
    <row r="60" spans="2:9" ht="14" x14ac:dyDescent="0.3">
      <c r="B60" s="53" t="s">
        <v>135</v>
      </c>
      <c r="C60" s="6"/>
      <c r="D60" s="443">
        <f>((Dashboard!I6*Data!C4)+D52+E50-C58-C59)</f>
        <v>128260855.23500001</v>
      </c>
      <c r="E60" s="444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2" t="s">
        <v>260</v>
      </c>
    </row>
    <row r="63" spans="2:9" ht="15" customHeight="1" x14ac:dyDescent="0.3">
      <c r="B63" s="3" t="s">
        <v>263</v>
      </c>
      <c r="D63" s="441">
        <f>((C26-C11-C12-C14-C15-C16*G16-C19*G19-C20*G20)-I26)/Data!C7</f>
        <v>-0.64687443506582265</v>
      </c>
      <c r="E63" s="442"/>
    </row>
    <row r="64" spans="2:9" ht="15" customHeight="1" x14ac:dyDescent="0.3">
      <c r="B64" s="3" t="s">
        <v>262</v>
      </c>
      <c r="D64" s="439">
        <v>6.3399999999999998E-2</v>
      </c>
      <c r="E64" s="440"/>
      <c r="F64" s="266" t="s">
        <v>247</v>
      </c>
    </row>
    <row r="65" spans="2:5" ht="15" customHeight="1" x14ac:dyDescent="0.3">
      <c r="B65" s="292" t="s">
        <v>264</v>
      </c>
      <c r="D65" s="439">
        <f>D63</f>
        <v>-0.64687443506582265</v>
      </c>
      <c r="E65" s="440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1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244</v>
      </c>
      <c r="C2" s="286" t="s">
        <v>258</v>
      </c>
      <c r="D2" s="286"/>
      <c r="E2" s="286">
        <v>1</v>
      </c>
      <c r="F2" s="286"/>
      <c r="G2" s="286">
        <v>2</v>
      </c>
      <c r="H2" s="12"/>
      <c r="I2" s="286">
        <v>3</v>
      </c>
      <c r="J2" s="286"/>
      <c r="K2" s="12"/>
      <c r="L2" s="12"/>
    </row>
    <row r="3" spans="1:13" ht="15.75" customHeight="1" x14ac:dyDescent="0.3">
      <c r="B3" s="29" t="str">
        <f>'FCFF Model'!B3</f>
        <v>(Numbers in 1000USD)</v>
      </c>
      <c r="C3" s="278">
        <f>Data!C3</f>
        <v>44561</v>
      </c>
      <c r="D3" s="28" t="s">
        <v>246</v>
      </c>
      <c r="E3" s="278">
        <f>EOMONTH(EDATE(C3,12),0)</f>
        <v>44926</v>
      </c>
      <c r="F3" s="28" t="s">
        <v>246</v>
      </c>
      <c r="G3" s="278" t="str">
        <f>IF(G7="","",EOMONTH(EDATE(E3,12),0))</f>
        <v/>
      </c>
      <c r="H3" s="28"/>
      <c r="I3" s="278" t="str">
        <f>IF(I14="","",EOMONTH(EDATE(G3,12),0))</f>
        <v/>
      </c>
      <c r="J3" s="297"/>
      <c r="L3" s="72" t="s">
        <v>136</v>
      </c>
    </row>
    <row r="4" spans="1:13" ht="15.75" customHeight="1" x14ac:dyDescent="0.3">
      <c r="B4" s="293" t="s">
        <v>307</v>
      </c>
      <c r="C4" s="294">
        <v>4982237</v>
      </c>
      <c r="D4" s="260">
        <f>C4/C6</f>
        <v>0.91532876780782757</v>
      </c>
      <c r="E4" s="294"/>
      <c r="F4" s="260"/>
      <c r="G4" s="222"/>
      <c r="H4" s="260"/>
      <c r="I4" s="222"/>
      <c r="J4" s="287"/>
      <c r="K4" s="6"/>
      <c r="L4" s="74"/>
      <c r="M4" s="57"/>
    </row>
    <row r="5" spans="1:13" ht="15.75" customHeight="1" x14ac:dyDescent="0.3">
      <c r="B5" s="293" t="s">
        <v>308</v>
      </c>
      <c r="C5" s="294">
        <v>460875</v>
      </c>
      <c r="D5" s="260">
        <f>C5/C6</f>
        <v>8.4671232192172416E-2</v>
      </c>
      <c r="E5" s="294"/>
      <c r="F5" s="260"/>
      <c r="G5" s="222"/>
      <c r="H5" s="260"/>
      <c r="I5" s="222"/>
      <c r="J5" s="287"/>
      <c r="K5" s="6"/>
      <c r="L5" s="74"/>
      <c r="M5" s="57"/>
    </row>
    <row r="6" spans="1:13" ht="15.75" customHeight="1" x14ac:dyDescent="0.3">
      <c r="B6" s="5" t="s">
        <v>138</v>
      </c>
      <c r="C6" s="180">
        <f>C4+C5</f>
        <v>5443112</v>
      </c>
      <c r="D6" s="259"/>
      <c r="E6" s="338">
        <f>1621300+1907000+3745058</f>
        <v>7273358</v>
      </c>
      <c r="F6" s="259"/>
      <c r="G6" s="338"/>
      <c r="H6" s="259"/>
      <c r="I6" s="228"/>
      <c r="J6" s="288"/>
      <c r="K6" s="6"/>
      <c r="L6" s="74" t="s">
        <v>265</v>
      </c>
      <c r="M6" s="57"/>
    </row>
    <row r="7" spans="1:13" ht="15.75" customHeight="1" x14ac:dyDescent="0.3">
      <c r="B7" s="17" t="s">
        <v>137</v>
      </c>
      <c r="C7" s="187"/>
      <c r="D7" s="261"/>
      <c r="E7" s="18">
        <f>E6/C6-1</f>
        <v>0.33624992467544312</v>
      </c>
      <c r="F7" s="261"/>
      <c r="G7" s="73"/>
      <c r="H7" s="261"/>
      <c r="I7" s="73"/>
      <c r="J7" s="328"/>
      <c r="K7" s="6"/>
      <c r="L7" s="74"/>
      <c r="M7" s="57"/>
    </row>
    <row r="8" spans="1:13" ht="15.75" customHeight="1" x14ac:dyDescent="0.3">
      <c r="B8" s="8" t="s">
        <v>139</v>
      </c>
      <c r="C8" s="181">
        <f>Data!C9</f>
        <v>3767342</v>
      </c>
      <c r="D8" s="262"/>
      <c r="E8" s="227">
        <f>1102581+1164740+2244315</f>
        <v>4511636</v>
      </c>
      <c r="F8" s="262"/>
      <c r="G8" s="282" t="str">
        <f>IF(G6="","",G6*(1-G9))</f>
        <v/>
      </c>
      <c r="H8" s="262"/>
      <c r="I8" s="282" t="str">
        <f>IF(I6="","",I6*(1-I9))</f>
        <v/>
      </c>
      <c r="J8" s="329"/>
      <c r="K8" s="6"/>
      <c r="L8" s="116"/>
      <c r="M8" s="1"/>
    </row>
    <row r="9" spans="1:13" ht="15.75" customHeight="1" x14ac:dyDescent="0.3">
      <c r="B9" s="17" t="s">
        <v>48</v>
      </c>
      <c r="C9" s="186">
        <f>(C6-C8)/C6</f>
        <v>0.3078698362260413</v>
      </c>
      <c r="D9" s="186"/>
      <c r="E9" s="73">
        <f>(E6-E8)/E6</f>
        <v>0.37970384518402639</v>
      </c>
      <c r="F9" s="186"/>
      <c r="G9" s="73"/>
      <c r="H9" s="186"/>
      <c r="I9" s="73"/>
      <c r="J9" s="330"/>
      <c r="K9" s="6"/>
      <c r="L9" s="74"/>
    </row>
    <row r="10" spans="1:13" ht="15.75" customHeight="1" x14ac:dyDescent="0.3">
      <c r="B10" s="5" t="s">
        <v>140</v>
      </c>
      <c r="C10" s="27">
        <f>C6-C8</f>
        <v>1675770</v>
      </c>
      <c r="D10" s="27"/>
      <c r="E10" s="27">
        <f>E6-E8</f>
        <v>2761722</v>
      </c>
      <c r="F10" s="27"/>
      <c r="G10" s="27" t="str">
        <f>IF(G7="","",G6-G8)</f>
        <v/>
      </c>
      <c r="H10" s="27"/>
      <c r="I10" s="27" t="str">
        <f>IF(I7="","",I6-I8)</f>
        <v/>
      </c>
      <c r="J10" s="242"/>
      <c r="K10" s="6"/>
      <c r="L10" s="74"/>
    </row>
    <row r="11" spans="1:13" ht="15.75" customHeight="1" x14ac:dyDescent="0.3">
      <c r="B11" s="17" t="s">
        <v>50</v>
      </c>
      <c r="C11" s="189">
        <f>C12/C6</f>
        <v>0.16495251245978404</v>
      </c>
      <c r="D11" s="189"/>
      <c r="E11" s="226">
        <f>E12/E6</f>
        <v>0.14927644150061087</v>
      </c>
      <c r="F11" s="189"/>
      <c r="G11" s="65"/>
      <c r="H11" s="189"/>
      <c r="I11" s="65"/>
      <c r="J11" s="331"/>
      <c r="K11" s="6"/>
      <c r="L11" s="74"/>
    </row>
    <row r="12" spans="1:13" ht="15.75" customHeight="1" x14ac:dyDescent="0.3">
      <c r="B12" s="8" t="s">
        <v>141</v>
      </c>
      <c r="C12" s="183">
        <f>694554+203301</f>
        <v>897855</v>
      </c>
      <c r="D12" s="263"/>
      <c r="E12" s="76">
        <f>236343+264297+352753+18627+213721</f>
        <v>1085741</v>
      </c>
      <c r="F12" s="263"/>
      <c r="G12" s="76"/>
      <c r="H12" s="263"/>
      <c r="I12" s="76"/>
      <c r="J12" s="332"/>
      <c r="K12" s="6"/>
      <c r="L12" s="74"/>
    </row>
    <row r="13" spans="1:13" ht="15.75" customHeight="1" x14ac:dyDescent="0.3">
      <c r="B13" s="17" t="s">
        <v>51</v>
      </c>
      <c r="C13" s="18">
        <f>C15/C6</f>
        <v>0.14291732376625724</v>
      </c>
      <c r="D13" s="18"/>
      <c r="E13" s="18">
        <f>E15/E6</f>
        <v>0.23042740368341555</v>
      </c>
      <c r="F13" s="18"/>
      <c r="G13" s="18" t="str">
        <f>IF(G7="","",G15/G6)</f>
        <v/>
      </c>
      <c r="H13" s="18"/>
      <c r="I13" s="18" t="str">
        <f>IF(I7="","",I15/I6)</f>
        <v/>
      </c>
      <c r="J13" s="231"/>
      <c r="K13" s="6"/>
      <c r="L13" s="74"/>
      <c r="M13" s="57"/>
    </row>
    <row r="14" spans="1:13" ht="15.75" customHeight="1" x14ac:dyDescent="0.3">
      <c r="B14" s="17" t="s">
        <v>142</v>
      </c>
      <c r="C14" s="188"/>
      <c r="D14" s="264"/>
      <c r="E14" s="14">
        <f>IF(ABS(C15+E15)=ABS(C15)+ABS(E15),IF(E15&lt;0,-1,1)*(E15-C15)/C15,"Turn")</f>
        <v>1.1544526072899997</v>
      </c>
      <c r="F14" s="264"/>
      <c r="G14" s="14" t="str">
        <f>IF(G7="","",IF(ABS(E15+G15)=ABS(E15)+ABS(G15),IF(G15&lt;0,-1,1)*(G15-E15)/E15,"Turn"))</f>
        <v/>
      </c>
      <c r="H14" s="264"/>
      <c r="I14" s="14" t="str">
        <f>IF(I7="","",IF(ABS(G15+I15)=ABS(G15)+ABS(I15),IF(I15&lt;0,-1,1)*(I15-G15)/G15,"Turn"))</f>
        <v/>
      </c>
      <c r="J14" s="333"/>
      <c r="K14" s="6"/>
      <c r="L14" s="77"/>
      <c r="M14" s="78"/>
    </row>
    <row r="15" spans="1:13" ht="15.75" customHeight="1" x14ac:dyDescent="0.3">
      <c r="B15" s="134" t="s">
        <v>242</v>
      </c>
      <c r="C15" s="320">
        <f>C10-C12</f>
        <v>777915</v>
      </c>
      <c r="D15" s="321"/>
      <c r="E15" s="320">
        <f>E10-E12</f>
        <v>1675981</v>
      </c>
      <c r="F15" s="321"/>
      <c r="G15" s="320" t="str">
        <f>IF(G7="","",G10-G12)</f>
        <v/>
      </c>
      <c r="H15" s="321"/>
      <c r="I15" s="320" t="str">
        <f>IF(I7="","",I10-I12)</f>
        <v/>
      </c>
      <c r="J15" s="334"/>
      <c r="K15" s="6"/>
      <c r="L15" s="79"/>
      <c r="M15" s="56"/>
    </row>
    <row r="16" spans="1:13" ht="15.75" customHeight="1" x14ac:dyDescent="0.3">
      <c r="B16" s="316" t="s">
        <v>143</v>
      </c>
      <c r="C16" s="317">
        <v>0.25</v>
      </c>
      <c r="D16" s="318"/>
      <c r="E16" s="319">
        <f>IF(E15="","",C16)</f>
        <v>0.25</v>
      </c>
      <c r="F16" s="319"/>
      <c r="G16" s="319" t="str">
        <f>IF(G15="","",E16)</f>
        <v/>
      </c>
      <c r="H16" s="319"/>
      <c r="I16" s="319" t="str">
        <f>IF(I15="","",G16)</f>
        <v/>
      </c>
      <c r="J16" s="335"/>
    </row>
    <row r="17" spans="2:10" ht="15.75" customHeight="1" x14ac:dyDescent="0.3">
      <c r="B17" s="325" t="s">
        <v>301</v>
      </c>
      <c r="C17" s="264">
        <f>C18/C8</f>
        <v>0.15486681325985271</v>
      </c>
      <c r="D17" s="327"/>
      <c r="E17" s="326">
        <f>E18/E8</f>
        <v>0.27860974378252146</v>
      </c>
      <c r="F17" s="326"/>
      <c r="G17" s="326" t="str">
        <f>IF(G8="","",G18/G8)</f>
        <v/>
      </c>
      <c r="H17" s="326"/>
      <c r="I17" s="326" t="str">
        <f>IF(I8="","",I18/I8)</f>
        <v/>
      </c>
      <c r="J17" s="336"/>
    </row>
    <row r="18" spans="2:10" ht="15.75" customHeight="1" x14ac:dyDescent="0.3">
      <c r="B18" s="322" t="s">
        <v>80</v>
      </c>
      <c r="C18" s="323">
        <f>IF(C15&lt;=0,C15,C15*(1-C16))</f>
        <v>583436.25</v>
      </c>
      <c r="D18" s="323"/>
      <c r="E18" s="324">
        <f>IF(E15="","",IF(E15&lt;=0,E15,E15*(1-E16)))</f>
        <v>1256985.75</v>
      </c>
      <c r="F18" s="323"/>
      <c r="G18" s="324" t="str">
        <f>IF(G15="","",IF(G15&lt;=0,G15,G15*(1-G16)))</f>
        <v/>
      </c>
      <c r="H18" s="323"/>
      <c r="I18" s="324" t="str">
        <f>IF(I15="","",IF(I15&lt;=0,I15,I15*(1-I16)))</f>
        <v/>
      </c>
      <c r="J18" s="337"/>
    </row>
    <row r="19" spans="2:10" ht="15.75" customHeight="1" x14ac:dyDescent="0.3"/>
    <row r="20" spans="2:10" ht="15.75" customHeight="1" x14ac:dyDescent="0.3"/>
    <row r="21" spans="2:10" ht="15.75" customHeight="1" x14ac:dyDescent="0.3"/>
    <row r="22" spans="2:10" ht="15.75" customHeight="1" x14ac:dyDescent="0.3"/>
    <row r="23" spans="2:10" ht="15.75" customHeight="1" x14ac:dyDescent="0.3"/>
    <row r="24" spans="2:10" ht="15.75" customHeight="1" x14ac:dyDescent="0.3"/>
    <row r="25" spans="2:10" ht="15.75" customHeight="1" x14ac:dyDescent="0.3"/>
    <row r="26" spans="2:10" ht="15.75" customHeight="1" x14ac:dyDescent="0.3"/>
    <row r="27" spans="2:10" ht="15.75" customHeight="1" x14ac:dyDescent="0.3"/>
    <row r="28" spans="2:10" ht="15.75" customHeight="1" x14ac:dyDescent="0.3"/>
    <row r="29" spans="2:10" ht="15.75" customHeight="1" x14ac:dyDescent="0.3"/>
    <row r="30" spans="2:10" ht="15.75" customHeight="1" x14ac:dyDescent="0.3"/>
    <row r="31" spans="2:10" ht="15.75" customHeight="1" x14ac:dyDescent="0.3"/>
    <row r="32" spans="2:10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</sheetData>
  <conditionalFormatting sqref="G7:H11 I10 I12:I15 G13:H15 H12 I7:I8">
    <cfRule type="containsBlanks" dxfId="8" priority="10">
      <formula>LEN(TRIM(G7))=0</formula>
    </cfRule>
    <cfRule type="containsBlanks" priority="11">
      <formula>LEN(TRIM(G7))=0</formula>
    </cfRule>
  </conditionalFormatting>
  <conditionalFormatting sqref="I7 I11 I9">
    <cfRule type="containsBlanks" dxfId="7" priority="8">
      <formula>LEN(TRIM(I7))=0</formula>
    </cfRule>
    <cfRule type="containsBlanks" priority="9">
      <formula>LEN(TRIM(I7))=0</formula>
    </cfRule>
  </conditionalFormatting>
  <conditionalFormatting sqref="J7:J15">
    <cfRule type="containsBlanks" dxfId="6" priority="6">
      <formula>LEN(TRIM(J7))=0</formula>
    </cfRule>
    <cfRule type="containsBlanks" priority="7">
      <formula>LEN(TRIM(J7))=0</formula>
    </cfRule>
  </conditionalFormatting>
  <conditionalFormatting sqref="E16 G18 I18 E18">
    <cfRule type="containsBlanks" dxfId="5" priority="4">
      <formula>LEN(TRIM(E16))=0</formula>
    </cfRule>
  </conditionalFormatting>
  <conditionalFormatting sqref="G7:J16 G18:J18 J17">
    <cfRule type="containsBlanks" dxfId="4" priority="3">
      <formula>LEN(TRIM(G7))=0</formula>
    </cfRule>
  </conditionalFormatting>
  <conditionalFormatting sqref="E17">
    <cfRule type="containsBlanks" dxfId="3" priority="2">
      <formula>LEN(TRIM(E17))=0</formula>
    </cfRule>
  </conditionalFormatting>
  <conditionalFormatting sqref="G17:I17">
    <cfRule type="containsBlanks" dxfId="2" priority="1">
      <formula>LEN(TRIM(G17))=0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C33" sqref="C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220</v>
      </c>
      <c r="C2" s="286" t="s">
        <v>258</v>
      </c>
      <c r="D2" s="286">
        <v>1</v>
      </c>
      <c r="E2" s="286">
        <v>2</v>
      </c>
      <c r="F2" s="286">
        <v>3</v>
      </c>
      <c r="G2" s="286" t="str">
        <f>B24</f>
        <v>Exit after Year 1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1000USD)</v>
      </c>
      <c r="C3" s="278">
        <f>Operation!C3</f>
        <v>44561</v>
      </c>
      <c r="D3" s="278">
        <f>Operation!E3</f>
        <v>44926</v>
      </c>
      <c r="E3" s="278" t="str">
        <f>Operation!G3</f>
        <v/>
      </c>
      <c r="F3" s="278" t="str">
        <f>Operation!I3</f>
        <v/>
      </c>
      <c r="G3" s="28" t="s">
        <v>256</v>
      </c>
      <c r="I3" s="72" t="s">
        <v>136</v>
      </c>
    </row>
    <row r="4" spans="1:10" ht="15.75" customHeight="1" x14ac:dyDescent="0.3">
      <c r="B4" s="5" t="s">
        <v>80</v>
      </c>
      <c r="C4" s="182">
        <f>Operation!C18</f>
        <v>583436.25</v>
      </c>
      <c r="D4" s="45">
        <f>Operation!E18</f>
        <v>1256985.75</v>
      </c>
      <c r="E4" s="45" t="str">
        <f>Operation!G18</f>
        <v/>
      </c>
      <c r="F4" s="201" t="str">
        <f>Operation!I18</f>
        <v/>
      </c>
      <c r="G4" s="304">
        <f>IF(F3="",IF(E3="",1,2),3)</f>
        <v>1</v>
      </c>
      <c r="H4" s="6"/>
      <c r="I4" s="79"/>
      <c r="J4" s="56"/>
    </row>
    <row r="5" spans="1:10" ht="15.75" customHeight="1" x14ac:dyDescent="0.3">
      <c r="B5" s="17" t="s">
        <v>273</v>
      </c>
      <c r="C5" s="257"/>
      <c r="D5" s="258">
        <f>D4/C4-1</f>
        <v>1.1544526072899997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0.38619999999999999</v>
      </c>
      <c r="D6" s="226">
        <v>0.38619999999999999</v>
      </c>
      <c r="E6" s="65"/>
      <c r="F6" s="309"/>
      <c r="G6" s="199"/>
      <c r="H6" s="6"/>
      <c r="I6" s="77"/>
    </row>
    <row r="7" spans="1:10" ht="15" customHeight="1" thickBot="1" x14ac:dyDescent="0.35">
      <c r="B7" s="81" t="s">
        <v>266</v>
      </c>
      <c r="C7" s="310">
        <f>C4*C6</f>
        <v>225323.07975</v>
      </c>
      <c r="D7" s="310">
        <f>D4*D6</f>
        <v>485447.89665000001</v>
      </c>
      <c r="E7" s="311"/>
      <c r="F7" s="311"/>
      <c r="G7" s="200"/>
      <c r="H7" s="82"/>
      <c r="I7" s="56"/>
      <c r="J7" s="56"/>
    </row>
    <row r="8" spans="1:10" ht="15.75" customHeight="1" thickTop="1" x14ac:dyDescent="0.3">
      <c r="B8" s="17" t="s">
        <v>144</v>
      </c>
      <c r="C8" s="192">
        <f>IF(C4="","",C4-C7)</f>
        <v>358113.17024999997</v>
      </c>
      <c r="D8" s="191">
        <f>D4-D7</f>
        <v>771537.85334999999</v>
      </c>
      <c r="E8" s="191" t="str">
        <f>IF(E4="","",E4-E7)</f>
        <v/>
      </c>
      <c r="F8" s="191" t="str">
        <f>IF(F4="","",F4-F7)</f>
        <v/>
      </c>
      <c r="G8" s="229">
        <f>IF(F4="",IF(E4="",D8,E8),F8)</f>
        <v>771537.85334999999</v>
      </c>
      <c r="H8" s="82"/>
      <c r="I8" s="56"/>
      <c r="J8" s="56"/>
    </row>
    <row r="9" spans="1:10" ht="15.75" customHeight="1" x14ac:dyDescent="0.3">
      <c r="B9" s="203" t="s">
        <v>213</v>
      </c>
      <c r="C9" s="193">
        <f>C8/(Common_Shares/Data!$C$4)</f>
        <v>4.5255144288534596E-2</v>
      </c>
      <c r="D9" s="306">
        <f>D8/(Common_Shares/Data!$C$4)</f>
        <v>9.7500063605718501E-2</v>
      </c>
      <c r="E9" s="306" t="str">
        <f>IF(E8="","",E8/(Common_Shares/Data!$C$4))</f>
        <v/>
      </c>
      <c r="F9" s="306" t="str">
        <f>IF(F8="","",F8/(Common_Shares/Data!$C$4))</f>
        <v/>
      </c>
      <c r="G9" s="307">
        <f>G8*Data!C$4/Dashboard!I5</f>
        <v>9.7500063605718501E-2</v>
      </c>
      <c r="H9" s="82"/>
      <c r="I9" s="56"/>
      <c r="J9" s="56"/>
    </row>
    <row r="10" spans="1:10" ht="15.75" customHeight="1" x14ac:dyDescent="0.3">
      <c r="B10" s="234" t="s">
        <v>243</v>
      </c>
      <c r="C10" s="312">
        <f>C11/C9</f>
        <v>0</v>
      </c>
      <c r="D10" s="312">
        <f>D11/D9</f>
        <v>0</v>
      </c>
      <c r="E10" s="344"/>
      <c r="F10" s="344"/>
      <c r="G10" s="235"/>
      <c r="H10" s="82"/>
      <c r="I10" s="56"/>
      <c r="J10" s="56"/>
    </row>
    <row r="11" spans="1:10" ht="15.75" customHeight="1" x14ac:dyDescent="0.3">
      <c r="B11" s="234" t="s">
        <v>257</v>
      </c>
      <c r="C11" s="284">
        <v>0</v>
      </c>
      <c r="D11" s="285">
        <v>0</v>
      </c>
      <c r="E11" s="345"/>
      <c r="F11" s="345"/>
      <c r="G11" s="283"/>
      <c r="H11" s="82"/>
      <c r="I11" s="56"/>
      <c r="J11" s="56"/>
    </row>
    <row r="12" spans="1:10" ht="15.75" customHeight="1" x14ac:dyDescent="0.3">
      <c r="B12" s="19" t="s">
        <v>274</v>
      </c>
      <c r="C12" s="236">
        <v>0</v>
      </c>
      <c r="D12" s="236">
        <v>0</v>
      </c>
      <c r="E12" s="346"/>
      <c r="F12" s="346"/>
      <c r="G12" s="230">
        <f>G9*D27</f>
        <v>5.8500038163431096</v>
      </c>
      <c r="H12" s="82"/>
      <c r="I12" s="56"/>
      <c r="J12" s="56"/>
    </row>
    <row r="13" spans="1:10" ht="15.75" customHeight="1" x14ac:dyDescent="0.3">
      <c r="B13" s="17" t="s">
        <v>145</v>
      </c>
      <c r="C13" s="190"/>
      <c r="D13" s="223">
        <f ca="1">Dashboard!C12</f>
        <v>9.6000000000000002E-2</v>
      </c>
      <c r="E13" s="18" t="str">
        <f>IF(E4="","",D13)</f>
        <v/>
      </c>
      <c r="F13" s="18" t="str">
        <f>IF(F4="","",D13)</f>
        <v/>
      </c>
      <c r="G13" s="231">
        <f ca="1">Dashboard!C12</f>
        <v>9.6000000000000002E-2</v>
      </c>
      <c r="H13" s="62"/>
      <c r="I13" s="57"/>
      <c r="J13" s="57"/>
    </row>
    <row r="14" spans="1:10" ht="15.75" customHeight="1" thickBot="1" x14ac:dyDescent="0.35">
      <c r="B14" s="83" t="s">
        <v>146</v>
      </c>
      <c r="C14" s="114"/>
      <c r="D14" s="224">
        <f ca="1">IF(D4="","",1+D13)</f>
        <v>1.0960000000000001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1.2012160000000003</v>
      </c>
      <c r="H14" s="62"/>
      <c r="I14" s="57"/>
      <c r="J14" s="57"/>
    </row>
    <row r="15" spans="1:10" ht="15.75" customHeight="1" thickTop="1" x14ac:dyDescent="0.3">
      <c r="B15" s="8" t="s">
        <v>297</v>
      </c>
      <c r="C15" s="237">
        <f>C12</f>
        <v>0</v>
      </c>
      <c r="D15" s="195">
        <f ca="1">IF(D12="","",MAX(D9-D11+D12,D12)/D14)</f>
        <v>8.8959912049013226E-2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4.8700681778656865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216</v>
      </c>
      <c r="C17" s="194" t="str">
        <f>B3</f>
        <v>(Numbers in 1000USD)</v>
      </c>
      <c r="E17" s="72" t="s">
        <v>217</v>
      </c>
    </row>
    <row r="18" spans="1:9" ht="15.75" customHeight="1" x14ac:dyDescent="0.3">
      <c r="B18" s="58" t="s">
        <v>236</v>
      </c>
      <c r="C18" s="84">
        <f>Asset_Model!E59</f>
        <v>7595985.2599999998</v>
      </c>
      <c r="D18" s="219">
        <f>C18/(Dashboard!I5/Data!C4)</f>
        <v>0.95991278040655081</v>
      </c>
      <c r="E18" s="85" t="s">
        <v>233</v>
      </c>
      <c r="G18" s="137">
        <f>C18+C19+C20+C21</f>
        <v>-2327383.1899999995</v>
      </c>
    </row>
    <row r="19" spans="1:9" ht="15.75" customHeight="1" x14ac:dyDescent="0.3">
      <c r="B19" s="58" t="s">
        <v>240</v>
      </c>
      <c r="C19" s="84">
        <f>Asset_Model!E58</f>
        <v>8582508.5500000007</v>
      </c>
      <c r="D19" s="219">
        <f>C19/(Dashboard!I5/Data!C4)</f>
        <v>1.0845807835458459</v>
      </c>
      <c r="E19" s="85" t="s">
        <v>234</v>
      </c>
      <c r="G19" s="197">
        <f>G18*Data!C$4/Dashboard!I5</f>
        <v>-0.29411390260970138</v>
      </c>
    </row>
    <row r="20" spans="1:9" ht="15.75" customHeight="1" x14ac:dyDescent="0.3">
      <c r="B20" s="58" t="s">
        <v>218</v>
      </c>
      <c r="C20" s="84">
        <f>-Asset_Model!D52</f>
        <v>-8694432</v>
      </c>
      <c r="D20" s="219">
        <f>C20/(Dashboard!I5/Data!C4)</f>
        <v>-1.0987246696126012</v>
      </c>
      <c r="E20" s="448" t="str">
        <f>IF(F21+G21=G19,"⇒","Error!")</f>
        <v>⇒</v>
      </c>
      <c r="F20" s="146" t="s">
        <v>241</v>
      </c>
      <c r="G20" s="87" t="s">
        <v>23</v>
      </c>
    </row>
    <row r="21" spans="1:9" ht="15.75" customHeight="1" x14ac:dyDescent="0.3">
      <c r="B21" s="85" t="s">
        <v>235</v>
      </c>
      <c r="C21" s="84">
        <f>-Asset_Model!E50</f>
        <v>-9811445</v>
      </c>
      <c r="D21" s="219">
        <f>C21/(Dashboard!I5/Data!C4)</f>
        <v>-1.239882796949497</v>
      </c>
      <c r="E21" s="448"/>
      <c r="F21" s="148">
        <f>D18</f>
        <v>0.95991278040655081</v>
      </c>
      <c r="G21" s="147">
        <f>SUM(D19:D21)</f>
        <v>-1.2540266830162523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219</v>
      </c>
      <c r="C23" s="194" t="str">
        <f>B3</f>
        <v>(Numbers in 1000USD)</v>
      </c>
      <c r="E23" s="452" t="s">
        <v>226</v>
      </c>
      <c r="F23" s="452"/>
      <c r="G23" s="452"/>
    </row>
    <row r="24" spans="1:9" ht="15.75" customHeight="1" x14ac:dyDescent="0.3">
      <c r="B24" s="127" t="str">
        <f>"Exit after Year "&amp;G4</f>
        <v>Exit after Year 1</v>
      </c>
      <c r="C24" s="127" t="s">
        <v>222</v>
      </c>
      <c r="D24" s="202" t="s">
        <v>215</v>
      </c>
      <c r="E24" s="305" t="s">
        <v>223</v>
      </c>
      <c r="F24" s="265" t="s">
        <v>225</v>
      </c>
      <c r="G24" s="265" t="s">
        <v>224</v>
      </c>
      <c r="I24" s="86" t="s">
        <v>136</v>
      </c>
    </row>
    <row r="25" spans="1:9" ht="15.75" customHeight="1" x14ac:dyDescent="0.3">
      <c r="B25" s="30" t="s">
        <v>295</v>
      </c>
      <c r="C25" s="14">
        <f>1/D25</f>
        <v>0.05</v>
      </c>
      <c r="D25" s="298">
        <v>20</v>
      </c>
      <c r="E25" s="206">
        <f ca="1">G9*D25/G14</f>
        <v>1.6233560592885623</v>
      </c>
      <c r="F25" s="449">
        <f ca="1">SUM(C15:F15)</f>
        <v>8.8959912049013226E-2</v>
      </c>
      <c r="G25" s="206">
        <f ca="1">$F$25+E25+$G$19</f>
        <v>1.418202068727874</v>
      </c>
      <c r="I25" s="74"/>
    </row>
    <row r="26" spans="1:9" ht="15.75" customHeight="1" x14ac:dyDescent="0.3">
      <c r="B26" s="30" t="s">
        <v>296</v>
      </c>
      <c r="C26" s="350">
        <f>1/D26</f>
        <v>2.2222222222222223E-2</v>
      </c>
      <c r="D26" s="351">
        <v>45</v>
      </c>
      <c r="E26" s="352">
        <f ca="1">G9*D26/G14</f>
        <v>3.6525511333992653</v>
      </c>
      <c r="F26" s="450"/>
      <c r="G26" s="352">
        <f ca="1">$F$25+E26+$G$19</f>
        <v>3.447397142838577</v>
      </c>
      <c r="I26" s="74" t="s">
        <v>311</v>
      </c>
    </row>
    <row r="27" spans="1:9" ht="15.75" customHeight="1" x14ac:dyDescent="0.3">
      <c r="B27" s="302" t="s">
        <v>309</v>
      </c>
      <c r="C27" s="303">
        <f t="shared" ref="C27" si="0">1/D27</f>
        <v>1.6666666666666666E-2</v>
      </c>
      <c r="D27" s="315">
        <v>60</v>
      </c>
      <c r="E27" s="207">
        <f ca="1">G9*D27/G14</f>
        <v>4.8700681778656865</v>
      </c>
      <c r="F27" s="451"/>
      <c r="G27" s="207">
        <f ca="1">$F$25+E27+$G$19</f>
        <v>4.6649141873049986</v>
      </c>
      <c r="I27" s="74" t="s">
        <v>310</v>
      </c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147</v>
      </c>
      <c r="C30" s="252">
        <f ca="1">MIN(Asset_Model!D7,G25*Exchange_Rate)+(ABS(Asset_Model!D7-G25*Exchange_Rate)*'Qualitative Analysis'!E8)</f>
        <v>7.2224006890596284</v>
      </c>
      <c r="D30" s="23" t="str">
        <f ca="1">IF(C30&lt;E30,"&lt;",IF(C30=E30,"=","&gt;"))</f>
        <v>&lt;</v>
      </c>
      <c r="E30" s="251">
        <f ca="1">G26*Exchange_Rate</f>
        <v>27.059421720758852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6" t="s">
        <v>148</v>
      </c>
      <c r="D32" s="447"/>
      <c r="E32" s="30" t="s">
        <v>214</v>
      </c>
      <c r="F32" s="30" t="s">
        <v>18</v>
      </c>
      <c r="G32" s="30"/>
      <c r="H32" s="6"/>
    </row>
    <row r="33" spans="2:9" ht="15.75" customHeight="1" x14ac:dyDescent="0.3">
      <c r="B33" s="256" t="s">
        <v>228</v>
      </c>
      <c r="C33" s="253">
        <f ca="1">MIN(C30,E30)+ABS(C30-E30)*'Qualitative Analysis'!$E$64</f>
        <v>19.681601772761738</v>
      </c>
      <c r="D33" s="119" t="str">
        <f>Dashboard!J4</f>
        <v>HKD</v>
      </c>
      <c r="E33" s="120">
        <f ca="1">(C33-G19)/C9</f>
        <v>441.4020989086161</v>
      </c>
      <c r="F33" s="158">
        <f ca="1">C33/(Data!C28*Exchange_Rate*Data!C4/Common_Shares)</f>
        <v>0.78001001956896543</v>
      </c>
      <c r="G33" s="87"/>
      <c r="H33" s="6"/>
      <c r="I33" s="74"/>
    </row>
    <row r="34" spans="2:9" ht="15.75" customHeight="1" x14ac:dyDescent="0.3">
      <c r="B34" s="255" t="s">
        <v>227</v>
      </c>
      <c r="C34" s="254">
        <f ca="1">MAX(Asset_Model!D7,(G12/(1+G34)^G4+F25+G19)*Exchange_Rate)</f>
        <v>41.135965734703007</v>
      </c>
      <c r="D34" s="208" t="str">
        <f>D33</f>
        <v>HKD</v>
      </c>
      <c r="E34" s="120">
        <f ca="1">(C34-G19)/C9</f>
        <v>915.47779348941401</v>
      </c>
      <c r="F34" s="158">
        <f ca="1">C34/(Data!C28*Exchange_Rate*Data!C4/Common_Shares)</f>
        <v>1.6302771394409523</v>
      </c>
      <c r="G34" s="281">
        <f>Dashboard!D10+4.5%</f>
        <v>7.4200000000000002E-2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7"/>
    <mergeCell ref="E23:G23"/>
  </mergeCells>
  <conditionalFormatting sqref="E4:F9 E13:F15">
    <cfRule type="containsBlanks" dxfId="1" priority="5">
      <formula>LEN(TRIM(E4))=0</formula>
    </cfRule>
  </conditionalFormatting>
  <conditionalFormatting sqref="E25:E27 G25:G27">
    <cfRule type="cellIs" dxfId="0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B39" sqref="B3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149</v>
      </c>
      <c r="C2" s="95"/>
      <c r="D2" s="12"/>
      <c r="E2" s="12"/>
      <c r="G2" s="72" t="s">
        <v>136</v>
      </c>
    </row>
    <row r="3" spans="1:7" ht="14" x14ac:dyDescent="0.3">
      <c r="B3" s="6" t="s">
        <v>278</v>
      </c>
      <c r="C3" s="96"/>
      <c r="D3" s="94">
        <f>IF(E3="Strongly disagree",0,IF(E3="disagree",1,IF(E3="unclear",2,IF(E3="agree",3,4))))</f>
        <v>2</v>
      </c>
      <c r="E3" s="31" t="s">
        <v>150</v>
      </c>
      <c r="G3" s="79" t="s">
        <v>312</v>
      </c>
    </row>
    <row r="4" spans="1:7" ht="14" x14ac:dyDescent="0.3">
      <c r="B4" s="6" t="s">
        <v>280</v>
      </c>
      <c r="C4" s="96"/>
      <c r="D4" s="94">
        <f t="shared" ref="D4" si="0">IF(E4="Strongly disagree",0,IF(E4="disagree",1,IF(E4="unclear",2,IF(E4="agree",3,4))))</f>
        <v>2</v>
      </c>
      <c r="E4" s="31" t="s">
        <v>150</v>
      </c>
      <c r="G4" s="77"/>
    </row>
    <row r="5" spans="1:7" ht="14" x14ac:dyDescent="0.3">
      <c r="B5" s="6" t="s">
        <v>275</v>
      </c>
      <c r="C5" s="96"/>
      <c r="D5" s="94">
        <f>AVERAGE(D12:D16)</f>
        <v>2.8</v>
      </c>
      <c r="E5" s="102" t="str">
        <f>IF(D5&gt;=3.5,"Strongly agree",IF(D5&gt;=2.5,"agree",IF(D5&gt;=1.5,"unclear",IF(D5&gt;=0.5,"disagree","Strongly disagree"))))</f>
        <v>agree</v>
      </c>
      <c r="G5" s="77"/>
    </row>
    <row r="6" spans="1:7" ht="14" x14ac:dyDescent="0.3">
      <c r="B6" s="6" t="s">
        <v>276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4" x14ac:dyDescent="0.3">
      <c r="B7" s="6" t="s">
        <v>277</v>
      </c>
      <c r="C7" s="96"/>
      <c r="D7" s="100">
        <f>IF(E7="Strongly disagree",0,IF(E7="disagree",1,IF(E7="unclear",2,IF(E7="agree",3,4))))</f>
        <v>3</v>
      </c>
      <c r="E7" s="101" t="str">
        <f>IF(D64&gt;=3.5,"Strongly agree",IF(D64&gt;=2.5,"agree",IF(D64&gt;=1.5,"unclear",IF(D64&gt;=0.5,"disagree","Strongly disagree"))))</f>
        <v>agree</v>
      </c>
      <c r="G7" s="79"/>
    </row>
    <row r="8" spans="1:7" ht="14" x14ac:dyDescent="0.3">
      <c r="B8" s="97" t="s">
        <v>152</v>
      </c>
      <c r="C8" s="96"/>
      <c r="D8" s="94">
        <f>AVERAGE(D3:D7)</f>
        <v>2.4</v>
      </c>
      <c r="E8" s="98">
        <f>D8/4</f>
        <v>0.6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153</v>
      </c>
      <c r="C10" s="20"/>
      <c r="D10" s="20"/>
      <c r="E10" s="12"/>
      <c r="G10" s="295"/>
    </row>
    <row r="11" spans="1:7" ht="15" customHeight="1" x14ac:dyDescent="0.3">
      <c r="B11" s="99" t="s">
        <v>154</v>
      </c>
      <c r="C11" s="93"/>
      <c r="E11" s="6"/>
      <c r="G11" s="295"/>
    </row>
    <row r="12" spans="1:7" ht="15" customHeight="1" x14ac:dyDescent="0.3">
      <c r="B12" s="53" t="s">
        <v>279</v>
      </c>
      <c r="D12" s="100">
        <f>IF(E12="Strongly disagree",0,IF(E12="disagree",1,IF(E12="unclear",2,IF(E12="agree",3,4))))</f>
        <v>3</v>
      </c>
      <c r="E12" s="31" t="s">
        <v>151</v>
      </c>
      <c r="F12" s="6"/>
      <c r="G12" s="295" t="s">
        <v>313</v>
      </c>
    </row>
    <row r="13" spans="1:7" ht="15" customHeight="1" x14ac:dyDescent="0.3">
      <c r="B13" s="53" t="s">
        <v>155</v>
      </c>
      <c r="D13" s="100">
        <f>IF(E13="Strongly disagree",0,IF(E13="disagree",1,IF(E13="unclear",2,IF(E13="agree",3,4))))</f>
        <v>4</v>
      </c>
      <c r="E13" s="31" t="s">
        <v>160</v>
      </c>
      <c r="F13" s="6"/>
      <c r="G13" s="295"/>
    </row>
    <row r="14" spans="1:7" ht="15" customHeight="1" x14ac:dyDescent="0.3">
      <c r="B14" s="53" t="s">
        <v>156</v>
      </c>
      <c r="D14" s="100">
        <f>IF(E14="Strongly disagree",0,IF(E14="disagree",1,IF(E14="unclear",2,IF(E14="agree",3,4))))</f>
        <v>4</v>
      </c>
      <c r="E14" s="31" t="s">
        <v>160</v>
      </c>
      <c r="F14" s="6"/>
      <c r="G14" s="295"/>
    </row>
    <row r="15" spans="1:7" ht="15" customHeight="1" x14ac:dyDescent="0.3">
      <c r="B15" s="53" t="s">
        <v>157</v>
      </c>
      <c r="D15" s="100">
        <f>IF(E15="Strongly disagree",0,IF(E15="disagree",1,IF(E15="unclear",2,IF(E15="agree",3,4))))</f>
        <v>0</v>
      </c>
      <c r="E15" s="31" t="s">
        <v>173</v>
      </c>
      <c r="F15" s="6"/>
      <c r="G15" s="295"/>
    </row>
    <row r="16" spans="1:7" ht="15" customHeight="1" x14ac:dyDescent="0.3">
      <c r="B16" s="53" t="s">
        <v>159</v>
      </c>
      <c r="D16" s="100">
        <f>IF(E16="Strongly disagree",0,IF(E16="disagree",1,IF(E16="unclear",2,IF(E16="agree",3,4))))</f>
        <v>3</v>
      </c>
      <c r="E16" s="31" t="s">
        <v>151</v>
      </c>
      <c r="F16" s="6"/>
      <c r="G16" s="295"/>
    </row>
    <row r="17" spans="2:7" ht="15" customHeight="1" x14ac:dyDescent="0.3">
      <c r="B17" s="99" t="s">
        <v>161</v>
      </c>
      <c r="D17" s="38"/>
      <c r="E17" s="23"/>
      <c r="G17" s="295"/>
    </row>
    <row r="18" spans="2:7" ht="15" customHeight="1" x14ac:dyDescent="0.3">
      <c r="B18" s="53" t="s">
        <v>300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5"/>
    </row>
    <row r="19" spans="2:7" ht="15" customHeight="1" x14ac:dyDescent="0.3">
      <c r="B19" s="53" t="s">
        <v>162</v>
      </c>
      <c r="D19" s="100">
        <f t="shared" ref="D19:D22" si="1">IF(E19="Strongly disagree",0,IF(E19="disagree",1,IF(E19="unclear",2,IF(E19="agree",3,4))))</f>
        <v>3</v>
      </c>
      <c r="E19" s="31" t="s">
        <v>151</v>
      </c>
      <c r="F19" s="6"/>
      <c r="G19" s="295" t="s">
        <v>314</v>
      </c>
    </row>
    <row r="20" spans="2:7" ht="15" customHeight="1" x14ac:dyDescent="0.3">
      <c r="B20" s="53" t="s">
        <v>163</v>
      </c>
      <c r="D20" s="100">
        <f t="shared" si="1"/>
        <v>0</v>
      </c>
      <c r="E20" s="31" t="s">
        <v>173</v>
      </c>
      <c r="F20" s="6"/>
      <c r="G20" s="295"/>
    </row>
    <row r="21" spans="2:7" ht="15" customHeight="1" x14ac:dyDescent="0.3">
      <c r="B21" s="53" t="s">
        <v>164</v>
      </c>
      <c r="D21" s="100">
        <f t="shared" si="1"/>
        <v>4</v>
      </c>
      <c r="E21" s="31" t="s">
        <v>160</v>
      </c>
      <c r="F21" s="6"/>
      <c r="G21" s="295"/>
    </row>
    <row r="22" spans="2:7" ht="15" customHeight="1" x14ac:dyDescent="0.3">
      <c r="B22" s="53" t="s">
        <v>165</v>
      </c>
      <c r="D22" s="100">
        <f t="shared" si="1"/>
        <v>3</v>
      </c>
      <c r="E22" s="31" t="s">
        <v>151</v>
      </c>
      <c r="F22" s="6"/>
      <c r="G22" s="295"/>
    </row>
    <row r="23" spans="2:7" ht="15" customHeight="1" x14ac:dyDescent="0.3">
      <c r="B23" s="99" t="s">
        <v>166</v>
      </c>
      <c r="D23" s="38"/>
      <c r="E23" s="23"/>
      <c r="G23" s="295"/>
    </row>
    <row r="24" spans="2:7" ht="15" customHeight="1" x14ac:dyDescent="0.3">
      <c r="B24" s="53" t="s">
        <v>167</v>
      </c>
      <c r="D24" s="100">
        <f t="shared" ref="D24:D28" si="2">IF(E24="Strongly disagree",0,IF(E24="disagree",1,IF(E24="unclear",2,IF(E24="agree",3,4))))</f>
        <v>2</v>
      </c>
      <c r="E24" s="31" t="s">
        <v>150</v>
      </c>
      <c r="F24" s="6"/>
      <c r="G24" s="295" t="s">
        <v>315</v>
      </c>
    </row>
    <row r="25" spans="2:7" ht="15" customHeight="1" x14ac:dyDescent="0.3">
      <c r="B25" s="53" t="s">
        <v>168</v>
      </c>
      <c r="D25" s="100">
        <f t="shared" si="2"/>
        <v>3</v>
      </c>
      <c r="E25" s="31" t="s">
        <v>151</v>
      </c>
      <c r="F25" s="6"/>
      <c r="G25" s="295" t="s">
        <v>316</v>
      </c>
    </row>
    <row r="26" spans="2:7" ht="15" customHeight="1" x14ac:dyDescent="0.3">
      <c r="B26" s="53" t="s">
        <v>281</v>
      </c>
      <c r="D26" s="100">
        <f t="shared" si="2"/>
        <v>2</v>
      </c>
      <c r="E26" s="31" t="s">
        <v>150</v>
      </c>
      <c r="F26" s="6"/>
      <c r="G26" s="295"/>
    </row>
    <row r="27" spans="2:7" ht="15" customHeight="1" x14ac:dyDescent="0.3">
      <c r="B27" s="53" t="s">
        <v>282</v>
      </c>
      <c r="D27" s="100">
        <f t="shared" si="2"/>
        <v>2</v>
      </c>
      <c r="E27" s="31" t="s">
        <v>150</v>
      </c>
      <c r="F27" s="6"/>
      <c r="G27" s="295"/>
    </row>
    <row r="28" spans="2:7" ht="15" customHeight="1" x14ac:dyDescent="0.3">
      <c r="B28" s="53" t="s">
        <v>169</v>
      </c>
      <c r="D28" s="100">
        <f t="shared" si="2"/>
        <v>2</v>
      </c>
      <c r="E28" s="31" t="s">
        <v>150</v>
      </c>
      <c r="F28" s="6"/>
      <c r="G28" s="295"/>
    </row>
    <row r="29" spans="2:7" ht="15" customHeight="1" x14ac:dyDescent="0.3">
      <c r="B29" s="99" t="s">
        <v>170</v>
      </c>
      <c r="D29" s="38"/>
      <c r="E29" s="23"/>
      <c r="G29" s="295"/>
    </row>
    <row r="30" spans="2:7" ht="15" customHeight="1" x14ac:dyDescent="0.3">
      <c r="B30" s="1" t="s">
        <v>171</v>
      </c>
      <c r="D30" s="103">
        <f>SUM(D31:D35)/(5*4)</f>
        <v>0</v>
      </c>
      <c r="E30" s="49" t="str">
        <f>IF(D30&gt;80%,"Very High",IF(D30&lt;=20%,"Very Low",IF(D30&lt;=40%,"Low",IF(D30&lt;=60%,"Medium","High"))))</f>
        <v>Very Low</v>
      </c>
      <c r="F30" s="6"/>
      <c r="G30" s="295"/>
    </row>
    <row r="31" spans="2:7" ht="15" customHeight="1" x14ac:dyDescent="0.3">
      <c r="B31" s="53" t="s">
        <v>172</v>
      </c>
      <c r="D31" s="100">
        <f t="shared" ref="D31:D35" si="3">IF(E31="Strongly disagree",0,IF(E31="disagree",1,IF(E31="unclear",2,IF(E31="agree",3,4))))</f>
        <v>0</v>
      </c>
      <c r="E31" s="31" t="s">
        <v>173</v>
      </c>
      <c r="F31" s="6"/>
      <c r="G31" s="295"/>
    </row>
    <row r="32" spans="2:7" ht="15" customHeight="1" x14ac:dyDescent="0.3">
      <c r="B32" s="53" t="s">
        <v>283</v>
      </c>
      <c r="D32" s="100">
        <f t="shared" si="3"/>
        <v>0</v>
      </c>
      <c r="E32" s="31" t="s">
        <v>173</v>
      </c>
      <c r="F32" s="6"/>
      <c r="G32" s="295"/>
    </row>
    <row r="33" spans="2:7" ht="15" customHeight="1" x14ac:dyDescent="0.3">
      <c r="B33" s="53" t="s">
        <v>284</v>
      </c>
      <c r="D33" s="100">
        <f t="shared" si="3"/>
        <v>0</v>
      </c>
      <c r="E33" s="31" t="s">
        <v>173</v>
      </c>
      <c r="F33" s="6"/>
      <c r="G33" s="295"/>
    </row>
    <row r="34" spans="2:7" ht="15" customHeight="1" x14ac:dyDescent="0.3">
      <c r="B34" s="53" t="s">
        <v>285</v>
      </c>
      <c r="D34" s="100">
        <f t="shared" si="3"/>
        <v>0</v>
      </c>
      <c r="E34" s="31" t="s">
        <v>173</v>
      </c>
      <c r="F34" s="6"/>
      <c r="G34" s="295"/>
    </row>
    <row r="35" spans="2:7" ht="15" customHeight="1" x14ac:dyDescent="0.3">
      <c r="B35" s="53" t="s">
        <v>302</v>
      </c>
      <c r="D35" s="100">
        <f t="shared" si="3"/>
        <v>0</v>
      </c>
      <c r="E35" s="31" t="s">
        <v>173</v>
      </c>
      <c r="G35" s="295"/>
    </row>
    <row r="36" spans="2:7" ht="15" customHeight="1" x14ac:dyDescent="0.3">
      <c r="B36" s="1" t="s">
        <v>174</v>
      </c>
      <c r="D36" s="103">
        <f>SUM(D37:D41)/(5*4)</f>
        <v>0.85</v>
      </c>
      <c r="E36" s="49" t="str">
        <f>IF(D36&gt;80%,"Very High",IF(D36&lt;=20%,"Very Low",IF(D36&lt;=40%,"Low",IF(D36&lt;=60%,"Medium","High"))))</f>
        <v>Very High</v>
      </c>
      <c r="F36" s="6"/>
      <c r="G36" s="295"/>
    </row>
    <row r="37" spans="2:7" ht="15" customHeight="1" x14ac:dyDescent="0.3">
      <c r="B37" s="53" t="s">
        <v>175</v>
      </c>
      <c r="D37" s="100">
        <f t="shared" ref="D37:D41" si="4">IF(E37="Strongly disagree",0,IF(E37="disagree",1,IF(E37="unclear",2,IF(E37="agree",3,4))))</f>
        <v>4</v>
      </c>
      <c r="E37" s="31" t="s">
        <v>160</v>
      </c>
      <c r="F37" s="6"/>
      <c r="G37" s="295"/>
    </row>
    <row r="38" spans="2:7" ht="15" customHeight="1" x14ac:dyDescent="0.3">
      <c r="B38" s="53" t="s">
        <v>286</v>
      </c>
      <c r="D38" s="100">
        <f t="shared" si="4"/>
        <v>4</v>
      </c>
      <c r="E38" s="31" t="s">
        <v>160</v>
      </c>
      <c r="F38" s="6"/>
      <c r="G38" s="295"/>
    </row>
    <row r="39" spans="2:7" ht="15" customHeight="1" x14ac:dyDescent="0.3">
      <c r="B39" s="53" t="s">
        <v>287</v>
      </c>
      <c r="D39" s="100">
        <f t="shared" si="4"/>
        <v>4</v>
      </c>
      <c r="E39" s="31" t="s">
        <v>160</v>
      </c>
      <c r="F39" s="6"/>
      <c r="G39" s="295"/>
    </row>
    <row r="40" spans="2:7" ht="15" customHeight="1" x14ac:dyDescent="0.3">
      <c r="B40" s="53" t="s">
        <v>288</v>
      </c>
      <c r="D40" s="100">
        <f t="shared" si="4"/>
        <v>4</v>
      </c>
      <c r="E40" s="31" t="s">
        <v>160</v>
      </c>
      <c r="F40" s="6"/>
      <c r="G40" s="295"/>
    </row>
    <row r="41" spans="2:7" ht="15" customHeight="1" x14ac:dyDescent="0.3">
      <c r="B41" s="53" t="s">
        <v>289</v>
      </c>
      <c r="D41" s="100">
        <f t="shared" si="4"/>
        <v>1</v>
      </c>
      <c r="E41" s="31" t="s">
        <v>158</v>
      </c>
      <c r="G41" s="295"/>
    </row>
    <row r="42" spans="2:7" ht="15" customHeight="1" x14ac:dyDescent="0.3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5"/>
    </row>
    <row r="43" spans="2:7" ht="15" customHeight="1" x14ac:dyDescent="0.3">
      <c r="B43" s="53" t="s">
        <v>177</v>
      </c>
      <c r="D43" s="100">
        <f t="shared" ref="D43:D48" si="5">IF(E43="Strongly disagree",0,IF(E43="disagree",1,IF(E43="unclear",2,IF(E43="agree",3,4))))</f>
        <v>4</v>
      </c>
      <c r="E43" s="31" t="s">
        <v>160</v>
      </c>
      <c r="F43" s="6"/>
      <c r="G43" s="295"/>
    </row>
    <row r="44" spans="2:7" ht="15" customHeight="1" x14ac:dyDescent="0.3">
      <c r="B44" s="53" t="s">
        <v>178</v>
      </c>
      <c r="D44" s="100">
        <f t="shared" si="5"/>
        <v>0</v>
      </c>
      <c r="E44" s="31" t="s">
        <v>173</v>
      </c>
      <c r="F44" s="6"/>
      <c r="G44" s="295"/>
    </row>
    <row r="45" spans="2:7" ht="15" customHeight="1" x14ac:dyDescent="0.3">
      <c r="B45" s="53" t="s">
        <v>179</v>
      </c>
      <c r="D45" s="100">
        <f t="shared" si="5"/>
        <v>0</v>
      </c>
      <c r="E45" s="31" t="s">
        <v>173</v>
      </c>
      <c r="F45" s="6"/>
      <c r="G45" s="295"/>
    </row>
    <row r="46" spans="2:7" ht="15" customHeight="1" x14ac:dyDescent="0.3">
      <c r="B46" s="53" t="s">
        <v>180</v>
      </c>
      <c r="D46" s="100">
        <f t="shared" si="5"/>
        <v>1</v>
      </c>
      <c r="E46" s="31" t="s">
        <v>158</v>
      </c>
      <c r="F46" s="6"/>
      <c r="G46" s="295" t="s">
        <v>317</v>
      </c>
    </row>
    <row r="47" spans="2:7" ht="15" customHeight="1" x14ac:dyDescent="0.3">
      <c r="B47" s="53" t="s">
        <v>181</v>
      </c>
      <c r="D47" s="100">
        <f t="shared" si="5"/>
        <v>3</v>
      </c>
      <c r="E47" s="31" t="s">
        <v>151</v>
      </c>
      <c r="F47" s="6"/>
      <c r="G47" s="295"/>
    </row>
    <row r="48" spans="2:7" ht="15" customHeight="1" x14ac:dyDescent="0.3">
      <c r="B48" s="53" t="s">
        <v>207</v>
      </c>
      <c r="D48" s="100">
        <f t="shared" si="5"/>
        <v>0</v>
      </c>
      <c r="E48" s="31" t="s">
        <v>173</v>
      </c>
      <c r="F48" s="6"/>
      <c r="G48" s="295"/>
    </row>
    <row r="49" spans="2:8" ht="15" customHeight="1" x14ac:dyDescent="0.3">
      <c r="B49" s="1" t="s">
        <v>182</v>
      </c>
      <c r="D49" s="103">
        <f>SUM(D50:D54)/(5*4)</f>
        <v>0.25510204081632654</v>
      </c>
      <c r="E49" s="49" t="str">
        <f>IF(D49&gt;80%,"Very High",IF(D49&lt;=20%,"Very Low",IF(D49&lt;=40%,"Low",IF(D49&lt;=60%,"Medium","High"))))</f>
        <v>Low</v>
      </c>
      <c r="F49" s="6"/>
      <c r="G49" s="295"/>
    </row>
    <row r="50" spans="2:8" ht="15" customHeight="1" x14ac:dyDescent="0.3">
      <c r="B50" s="53" t="s">
        <v>183</v>
      </c>
      <c r="D50" s="100">
        <f t="shared" ref="D50:D52" si="6">IF(E50="Strongly disagree",0,IF(E50="disagree",1,IF(E50="unclear",2,IF(E50="agree",3,4))))</f>
        <v>0</v>
      </c>
      <c r="E50" s="31" t="s">
        <v>173</v>
      </c>
      <c r="G50" s="295"/>
    </row>
    <row r="51" spans="2:8" ht="15" customHeight="1" x14ac:dyDescent="0.3">
      <c r="B51" s="53" t="s">
        <v>184</v>
      </c>
      <c r="D51" s="100">
        <f t="shared" si="6"/>
        <v>0</v>
      </c>
      <c r="E51" s="31" t="s">
        <v>173</v>
      </c>
      <c r="F51" s="6"/>
      <c r="G51" s="295"/>
    </row>
    <row r="52" spans="2:8" ht="15" customHeight="1" x14ac:dyDescent="0.3">
      <c r="B52" s="53" t="s">
        <v>290</v>
      </c>
      <c r="D52" s="100">
        <f t="shared" si="6"/>
        <v>2</v>
      </c>
      <c r="E52" s="31" t="s">
        <v>150</v>
      </c>
      <c r="G52" s="295"/>
    </row>
    <row r="53" spans="2:8" ht="15" customHeight="1" x14ac:dyDescent="0.3">
      <c r="B53" s="53" t="s">
        <v>291</v>
      </c>
      <c r="D53" s="100">
        <f>IF(E53="Strongly disagree",0,IF(E53="disagree",1,IF(E53="unclear",2,IF(E53="agree",3,4))))</f>
        <v>0</v>
      </c>
      <c r="E53" s="31" t="s">
        <v>173</v>
      </c>
      <c r="F53" s="53"/>
      <c r="G53" s="295"/>
      <c r="H53" s="53"/>
    </row>
    <row r="54" spans="2:8" ht="15" customHeight="1" x14ac:dyDescent="0.3">
      <c r="B54" s="53" t="s">
        <v>292</v>
      </c>
      <c r="D54" s="104">
        <f t="array" ref="D54">(1-INDEX(B68:E77,MATCH(E54,B68:B77,0),4))*4</f>
        <v>3.1020408163265305</v>
      </c>
      <c r="E54" s="31" t="s">
        <v>270</v>
      </c>
      <c r="F54" s="53"/>
      <c r="G54" s="295"/>
      <c r="H54" s="53"/>
    </row>
    <row r="55" spans="2:8" ht="15" customHeight="1" x14ac:dyDescent="0.3">
      <c r="B55" s="1" t="s">
        <v>185</v>
      </c>
      <c r="D55" s="105">
        <f>SUM(D56:D61)/(6*4)</f>
        <v>0.5</v>
      </c>
      <c r="E55" s="49" t="str">
        <f>IF(D55&gt;80%,"Very High",IF(D55&lt;=20%,"Very Low",IF(D55&lt;=40%,"Low",IF(D55&lt;=60%,"Medium","High"))))</f>
        <v>Medium</v>
      </c>
      <c r="F55" s="53"/>
      <c r="G55" s="295"/>
      <c r="H55" s="53"/>
    </row>
    <row r="56" spans="2:8" ht="15" customHeight="1" x14ac:dyDescent="0.3">
      <c r="B56" s="53" t="s">
        <v>186</v>
      </c>
      <c r="D56" s="100">
        <f t="shared" ref="D56:D60" si="7">IF(E56="Strongly disagree",0,IF(E56="disagree",1,IF(E56="unclear",2,IF(E56="agree",3,4))))</f>
        <v>2</v>
      </c>
      <c r="E56" s="31" t="s">
        <v>150</v>
      </c>
      <c r="F56" s="53"/>
      <c r="G56" s="295"/>
      <c r="H56" s="53"/>
    </row>
    <row r="57" spans="2:8" ht="15" customHeight="1" x14ac:dyDescent="0.3">
      <c r="B57" s="53" t="s">
        <v>187</v>
      </c>
      <c r="D57" s="100">
        <f t="shared" si="7"/>
        <v>0</v>
      </c>
      <c r="E57" s="31" t="s">
        <v>173</v>
      </c>
      <c r="F57" s="53"/>
      <c r="G57" s="295"/>
      <c r="H57" s="53"/>
    </row>
    <row r="58" spans="2:8" ht="15" customHeight="1" x14ac:dyDescent="0.3">
      <c r="B58" s="53" t="s">
        <v>208</v>
      </c>
      <c r="D58" s="100">
        <f t="shared" si="7"/>
        <v>0</v>
      </c>
      <c r="E58" s="31" t="s">
        <v>173</v>
      </c>
      <c r="F58" s="53"/>
      <c r="G58" s="295"/>
      <c r="H58" s="53"/>
    </row>
    <row r="59" spans="2:8" ht="15" customHeight="1" x14ac:dyDescent="0.3">
      <c r="B59" s="53" t="s">
        <v>209</v>
      </c>
      <c r="D59" s="100">
        <f t="shared" si="7"/>
        <v>4</v>
      </c>
      <c r="E59" s="31" t="s">
        <v>160</v>
      </c>
      <c r="F59" s="53"/>
      <c r="G59" s="295"/>
      <c r="H59" s="53"/>
    </row>
    <row r="60" spans="2:8" ht="15" customHeight="1" x14ac:dyDescent="0.3">
      <c r="B60" s="53" t="s">
        <v>210</v>
      </c>
      <c r="D60" s="100">
        <f t="shared" si="7"/>
        <v>4</v>
      </c>
      <c r="E60" s="31" t="s">
        <v>160</v>
      </c>
      <c r="F60" s="53"/>
      <c r="G60" s="295"/>
      <c r="H60" s="53"/>
    </row>
    <row r="61" spans="2:8" ht="15" customHeight="1" x14ac:dyDescent="0.3">
      <c r="B61" s="53" t="s">
        <v>211</v>
      </c>
      <c r="D61" s="100">
        <f>IF(E61="Strongly disagree",0,IF(E61="disagree",1,IF(E61="non-perishable",2,IF(E61="agree",3,4))))</f>
        <v>2</v>
      </c>
      <c r="E61" s="31" t="s">
        <v>271</v>
      </c>
      <c r="F61" s="53"/>
      <c r="G61" s="295"/>
      <c r="H61" s="53"/>
    </row>
    <row r="62" spans="2:8" ht="15" customHeight="1" x14ac:dyDescent="0.3">
      <c r="B62" s="146" t="s">
        <v>188</v>
      </c>
      <c r="D62" s="126">
        <f>1-AVERAGE(D30,D36,D42,D49,D55)</f>
        <v>0.61231292517006808</v>
      </c>
      <c r="E62" s="49" t="str">
        <f>IF(D62&gt;80%,"Very Low",IF(D62&lt;=20%,"Very High",IF(D62&lt;=40%,"High",IF(D62&lt;=60%,"Medium","Low"))))</f>
        <v>Low</v>
      </c>
      <c r="F62" s="53"/>
      <c r="G62" s="295"/>
      <c r="H62" s="53"/>
    </row>
    <row r="63" spans="2:8" ht="15" customHeight="1" x14ac:dyDescent="0.3">
      <c r="D63" s="6"/>
      <c r="G63" s="295"/>
    </row>
    <row r="64" spans="2:8" ht="15" customHeight="1" x14ac:dyDescent="0.3">
      <c r="B64" s="97" t="s">
        <v>189</v>
      </c>
      <c r="D64" s="94">
        <f>E64*4</f>
        <v>2.5123129251700682</v>
      </c>
      <c r="E64" s="125">
        <f>AVERAGE(AVERAGE(D12:D16)/4,AVERAGE(D18:D22)/4,AVERAGE(D24:D28)/4,D62)</f>
        <v>0.62807823129251705</v>
      </c>
      <c r="G64" s="295"/>
    </row>
    <row r="65" spans="2:7" ht="15" customHeight="1" x14ac:dyDescent="0.3">
      <c r="G65" s="296"/>
    </row>
    <row r="66" spans="2:7" ht="15" customHeight="1" x14ac:dyDescent="0.3">
      <c r="B66" s="54" t="s">
        <v>190</v>
      </c>
      <c r="C66" s="7"/>
      <c r="D66" s="7"/>
      <c r="E66" s="55"/>
    </row>
    <row r="67" spans="2:7" ht="15" customHeight="1" x14ac:dyDescent="0.3">
      <c r="B67" s="106" t="s">
        <v>191</v>
      </c>
      <c r="C67" s="107"/>
      <c r="D67" s="107"/>
      <c r="E67" s="108"/>
    </row>
    <row r="68" spans="2:7" ht="15" customHeight="1" x14ac:dyDescent="0.3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2023-03-16T01:57:13Z</dcterms:modified>
  <cp:category/>
  <cp:contentStatus/>
</cp:coreProperties>
</file>