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2A19DBE-E36A-4985-BD37-574BB8D206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7" i="4" l="1"/>
  <c r="G7" i="7"/>
  <c r="I13" i="7"/>
  <c r="I12" i="7"/>
  <c r="I7" i="7"/>
  <c r="G10" i="7"/>
  <c r="I10" i="7" s="1"/>
  <c r="G13" i="7"/>
  <c r="G12" i="7"/>
  <c r="G8" i="7"/>
  <c r="F44" i="1"/>
  <c r="C46" i="4"/>
  <c r="B4" i="4"/>
  <c r="C4" i="4" s="1"/>
  <c r="B9" i="4"/>
  <c r="B13" i="4" s="1"/>
  <c r="J10" i="1"/>
  <c r="C31" i="4"/>
  <c r="C37" i="1"/>
  <c r="B18" i="1" s="1"/>
  <c r="D31" i="4"/>
  <c r="E31" i="4" s="1"/>
  <c r="F31" i="4" s="1"/>
  <c r="E12" i="7"/>
  <c r="C13" i="7"/>
  <c r="E5" i="7"/>
  <c r="E6" i="7"/>
  <c r="E4" i="7"/>
  <c r="C7" i="7"/>
  <c r="D5" i="7" s="1"/>
  <c r="I28" i="3"/>
  <c r="I11" i="3"/>
  <c r="C33" i="3"/>
  <c r="C36" i="3"/>
  <c r="C15" i="3"/>
  <c r="C17" i="3"/>
  <c r="E5" i="1"/>
  <c r="F4" i="4" l="1"/>
  <c r="E4" i="4"/>
  <c r="E8" i="4" s="1"/>
  <c r="D4" i="4"/>
  <c r="F8" i="4"/>
  <c r="I8" i="7"/>
  <c r="G31" i="4"/>
  <c r="B5" i="4"/>
  <c r="B6" i="4"/>
  <c r="B10" i="4"/>
  <c r="E7" i="7"/>
  <c r="D6" i="7"/>
  <c r="J27" i="1"/>
  <c r="C32" i="4"/>
  <c r="C36" i="4"/>
  <c r="G28" i="4"/>
  <c r="D23" i="4" l="1"/>
  <c r="D24" i="4"/>
  <c r="E24" i="4"/>
  <c r="G46" i="4"/>
  <c r="E23" i="4"/>
  <c r="F6" i="7"/>
  <c r="F4" i="7"/>
  <c r="F5" i="7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9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C58" i="3" s="1"/>
  <c r="G35" i="3"/>
  <c r="D53" i="3"/>
  <c r="I53" i="3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5" i="1"/>
  <c r="G22" i="4"/>
  <c r="F22" i="4"/>
  <c r="C12" i="1"/>
  <c r="D33" i="2"/>
  <c r="D34" i="2" s="1"/>
  <c r="E6" i="1"/>
  <c r="C3" i="7" s="1"/>
  <c r="E28" i="1"/>
  <c r="E7" i="3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I16" i="7" s="1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H43" i="2"/>
  <c r="I43" i="2"/>
  <c r="J43" i="2"/>
  <c r="K43" i="2"/>
  <c r="L43" i="2"/>
  <c r="M43" i="2"/>
  <c r="D42" i="2"/>
  <c r="D45" i="4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G43" i="2" s="1"/>
  <c r="H27" i="2"/>
  <c r="I27" i="2"/>
  <c r="J27" i="2"/>
  <c r="K27" i="2"/>
  <c r="L27" i="2"/>
  <c r="M27" i="2"/>
  <c r="C42" i="2"/>
  <c r="J12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F34" i="2" s="1"/>
  <c r="C8" i="2"/>
  <c r="C8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16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C46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H17" i="2"/>
  <c r="K17" i="2"/>
  <c r="J17" i="2"/>
  <c r="I12" i="2"/>
  <c r="L17" i="2"/>
  <c r="I17" i="2"/>
  <c r="I14" i="7" l="1"/>
  <c r="F29" i="4"/>
  <c r="C25" i="3"/>
  <c r="I7" i="3" s="1"/>
  <c r="C12" i="7"/>
  <c r="D4" i="7"/>
  <c r="G45" i="2"/>
  <c r="G17" i="2"/>
  <c r="G44" i="2"/>
  <c r="D46" i="4"/>
  <c r="D48" i="4" s="1"/>
  <c r="C15" i="4"/>
  <c r="B28" i="4"/>
  <c r="D36" i="5"/>
  <c r="E36" i="5" s="1"/>
  <c r="D6" i="5"/>
  <c r="E6" i="5" s="1"/>
  <c r="G13" i="2"/>
  <c r="G48" i="2" s="1"/>
  <c r="G51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1" i="4"/>
  <c r="D36" i="4" s="1"/>
  <c r="D37" i="4" s="1"/>
  <c r="G37" i="4" s="1"/>
  <c r="G11" i="4"/>
  <c r="G36" i="4" s="1"/>
  <c r="C11" i="7"/>
  <c r="C16" i="7" s="1"/>
  <c r="C14" i="7" s="1"/>
  <c r="D52" i="3"/>
  <c r="C46" i="3"/>
  <c r="E3" i="3" s="1"/>
  <c r="E26" i="3"/>
  <c r="D26" i="3" s="1"/>
  <c r="E59" i="3"/>
  <c r="C16" i="4" s="1"/>
  <c r="D16" i="4" s="1"/>
  <c r="F44" i="2"/>
  <c r="E12" i="2"/>
  <c r="C13" i="2"/>
  <c r="C10" i="7"/>
  <c r="F5" i="4"/>
  <c r="E24" i="3"/>
  <c r="I24" i="3" s="1"/>
  <c r="J24" i="3" s="1"/>
  <c r="E42" i="3"/>
  <c r="D42" i="3" s="1"/>
  <c r="E58" i="3"/>
  <c r="D58" i="3" s="1"/>
  <c r="C44" i="3"/>
  <c r="I6" i="3"/>
  <c r="E34" i="1"/>
  <c r="I33" i="1"/>
  <c r="I34" i="1" s="1"/>
  <c r="I35" i="1" s="1"/>
  <c r="E50" i="3"/>
  <c r="I29" i="1"/>
  <c r="E15" i="2"/>
  <c r="F13" i="2"/>
  <c r="F16" i="2"/>
  <c r="F35" i="2" s="1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5" i="7" s="1"/>
  <c r="C44" i="2"/>
  <c r="E3" i="7"/>
  <c r="C3" i="4"/>
  <c r="C28" i="4" s="1"/>
  <c r="J16" i="1"/>
  <c r="F46" i="4"/>
  <c r="C21" i="4"/>
  <c r="B3" i="7"/>
  <c r="C11" i="1"/>
  <c r="F11" i="4" l="1"/>
  <c r="F36" i="4" s="1"/>
  <c r="F37" i="4" s="1"/>
  <c r="E13" i="7"/>
  <c r="C45" i="3"/>
  <c r="C18" i="4"/>
  <c r="D18" i="4" s="1"/>
  <c r="C33" i="4"/>
  <c r="G12" i="2"/>
  <c r="D47" i="4"/>
  <c r="E9" i="7"/>
  <c r="E11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F52" i="2" s="1"/>
  <c r="E46" i="3"/>
  <c r="D46" i="3" s="1"/>
  <c r="C17" i="4"/>
  <c r="D17" i="4" s="1"/>
  <c r="D62" i="5"/>
  <c r="E62" i="5" s="1"/>
  <c r="D60" i="3"/>
  <c r="E35" i="1"/>
  <c r="C38" i="1"/>
  <c r="D3" i="4"/>
  <c r="D28" i="4" s="1"/>
  <c r="E8" i="7"/>
  <c r="C19" i="7"/>
  <c r="C19" i="4"/>
  <c r="D19" i="4" s="1"/>
  <c r="D50" i="3"/>
  <c r="E25" i="3"/>
  <c r="D24" i="3"/>
  <c r="D49" i="3"/>
  <c r="F17" i="2"/>
  <c r="F45" i="2"/>
  <c r="E45" i="2"/>
  <c r="E17" i="2"/>
  <c r="E16" i="7" l="1"/>
  <c r="E15" i="7" s="1"/>
  <c r="D6" i="3"/>
  <c r="D7" i="3" s="1"/>
  <c r="D44" i="3"/>
  <c r="E45" i="3"/>
  <c r="D45" i="3" s="1"/>
  <c r="C8" i="4"/>
  <c r="C29" i="4"/>
  <c r="C34" i="4" s="1"/>
  <c r="C35" i="4" s="1"/>
  <c r="G19" i="4"/>
  <c r="G16" i="4"/>
  <c r="C18" i="7"/>
  <c r="I25" i="3"/>
  <c r="J25" i="3" s="1"/>
  <c r="D25" i="3"/>
  <c r="E14" i="7" l="1"/>
  <c r="C9" i="4"/>
  <c r="C10" i="4" s="1"/>
  <c r="E17" i="7"/>
  <c r="G33" i="4" s="1"/>
  <c r="D32" i="4"/>
  <c r="D33" i="4" s="1"/>
  <c r="I45" i="3"/>
  <c r="J45" i="3" s="1"/>
  <c r="J26" i="3" s="1"/>
  <c r="D18" i="5" s="1"/>
  <c r="E64" i="5" s="1"/>
  <c r="C38" i="4" s="1"/>
  <c r="E19" i="7" l="1"/>
  <c r="E18" i="7" s="1"/>
  <c r="E18" i="5"/>
  <c r="D64" i="5"/>
  <c r="E7" i="5" s="1"/>
  <c r="D7" i="5" s="1"/>
  <c r="D8" i="5" s="1"/>
  <c r="E8" i="5" s="1"/>
  <c r="F43" i="1"/>
  <c r="G41" i="4" l="1"/>
  <c r="D29" i="4"/>
  <c r="G17" i="4"/>
  <c r="E46" i="4" s="1"/>
  <c r="D5" i="4"/>
  <c r="F19" i="4"/>
  <c r="D8" i="4"/>
  <c r="D12" i="4"/>
  <c r="D39" i="4" s="1"/>
  <c r="F41" i="1"/>
  <c r="D9" i="4" l="1"/>
  <c r="D34" i="4"/>
  <c r="D35" i="4" s="1"/>
  <c r="D38" i="4" s="1"/>
  <c r="D40" i="4" s="1"/>
  <c r="G29" i="4"/>
  <c r="E6" i="3"/>
  <c r="F16" i="1"/>
  <c r="H16" i="1" s="1"/>
  <c r="E18" i="4"/>
  <c r="D10" i="4" l="1"/>
  <c r="D13" i="4" s="1"/>
  <c r="G9" i="7"/>
  <c r="G3" i="7"/>
  <c r="E3" i="4" s="1"/>
  <c r="E28" i="4" l="1"/>
  <c r="G11" i="7"/>
  <c r="G16" i="7" s="1"/>
  <c r="I15" i="7" s="1"/>
  <c r="I3" i="7" s="1"/>
  <c r="F3" i="4" s="1"/>
  <c r="F28" i="4" s="1"/>
  <c r="G4" i="4" l="1"/>
  <c r="B22" i="4" s="1"/>
  <c r="G2" i="4" s="1"/>
  <c r="G27" i="4" s="1"/>
  <c r="G17" i="7"/>
  <c r="G15" i="7"/>
  <c r="G14" i="7"/>
  <c r="E32" i="4" l="1"/>
  <c r="I17" i="7"/>
  <c r="G19" i="7"/>
  <c r="E9" i="4" s="1"/>
  <c r="F32" i="4" l="1"/>
  <c r="F33" i="4" s="1"/>
  <c r="F34" i="4" s="1"/>
  <c r="F35" i="4" s="1"/>
  <c r="F38" i="4" s="1"/>
  <c r="I19" i="7"/>
  <c r="E29" i="4"/>
  <c r="E33" i="4" s="1"/>
  <c r="G18" i="7"/>
  <c r="G32" i="4" l="1"/>
  <c r="F9" i="4"/>
  <c r="I18" i="7"/>
  <c r="G34" i="4"/>
  <c r="G35" i="4" s="1"/>
  <c r="G38" i="4" s="1"/>
  <c r="E34" i="4"/>
  <c r="E35" i="4" s="1"/>
  <c r="E5" i="4"/>
  <c r="E11" i="4"/>
  <c r="F10" i="4" l="1"/>
  <c r="G10" i="4"/>
  <c r="E36" i="4"/>
  <c r="F12" i="4"/>
  <c r="E12" i="4"/>
  <c r="E39" i="4" s="1"/>
  <c r="E10" i="4"/>
  <c r="F39" i="4" l="1"/>
  <c r="F40" i="4" s="1"/>
  <c r="F13" i="4"/>
  <c r="G12" i="4"/>
  <c r="E13" i="4"/>
  <c r="G39" i="4" l="1"/>
  <c r="F23" i="4"/>
  <c r="F24" i="4"/>
  <c r="G24" i="4" s="1"/>
  <c r="G23" i="4" l="1"/>
  <c r="E37" i="4"/>
  <c r="E38" i="4" s="1"/>
  <c r="G25" i="4" l="1"/>
  <c r="E40" i="4"/>
  <c r="G40" i="4"/>
  <c r="G42" i="4" l="1"/>
  <c r="C45" i="4" s="1"/>
  <c r="G45" i="4" s="1"/>
  <c r="C48" i="4" l="1"/>
  <c r="C47" i="4"/>
  <c r="G47" i="4" s="1"/>
  <c r="E45" i="4"/>
  <c r="F45" i="4"/>
  <c r="E14" i="1"/>
  <c r="F48" i="4" l="1"/>
  <c r="G48" i="4"/>
  <c r="E48" i="4"/>
  <c r="I38" i="1"/>
  <c r="F48" i="1"/>
  <c r="F47" i="4"/>
  <c r="I37" i="1"/>
  <c r="E47" i="4"/>
  <c r="E48" i="1"/>
  <c r="B17" i="1" l="1"/>
  <c r="E37" i="1" s="1"/>
  <c r="J18" i="1"/>
  <c r="H18" i="1"/>
  <c r="D18" i="1"/>
  <c r="F47" i="1"/>
  <c r="E47" i="1"/>
  <c r="D16" i="1"/>
  <c r="E52" i="1" l="1"/>
  <c r="F52" i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<sst xmlns="http://schemas.openxmlformats.org/spreadsheetml/2006/main" count="434" uniqueCount="370">
  <si>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</si>
  <si>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</si>
  <si>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</si>
  <si>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</si>
  <si>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</si>
  <si>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</si>
  <si>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</si>
  <si>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</si>
  <si>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</si>
  <si>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</si>
  <si>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</si>
  <si>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</si>
  <si>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</si>
  <si>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</si>
  <si>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</si>
  <si>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</si>
  <si>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</si>
  <si>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</si>
  <si>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</si>
  <si>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</si>
  <si>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</si>
  <si>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</si>
  <si>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</si>
  <si>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</si>
  <si>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</si>
  <si>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</si>
  <si>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</si>
  <si>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</si>
  <si>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</si>
  <si>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</si>
  <si>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</si>
  <si>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</si>
  <si>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</si>
  <si>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</si>
  <si>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</si>
  <si>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</si>
  <si>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</si>
  <si>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</si>
  <si>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</si>
  <si>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</si>
  <si>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</si>
  <si>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</si>
  <si>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</si>
  <si>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</si>
  <si>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</si>
  <si>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</si>
  <si>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</si>
  <si>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</si>
  <si>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</si>
  <si>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</si>
  <si>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</si>
  <si>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</si>
  <si>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</si>
  <si>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</si>
  <si>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</si>
  <si>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</si>
  <si>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</si>
  <si>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</si>
  <si>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</si>
  <si>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</si>
  <si>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</si>
  <si>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</si>
  <si>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</si>
  <si>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</si>
  <si>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</si>
  <si>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</si>
  <si>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</si>
  <si>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</si>
  <si>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</si>
  <si>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</si>
  <si>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</si>
  <si>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</si>
  <si>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</si>
  <si>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</si>
  <si>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</si>
  <si>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</si>
  <si>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</si>
  <si>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</si>
  <si>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</si>
  <si>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</si>
  <si>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</si>
  <si>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</si>
  <si>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</si>
  <si>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</si>
  <si>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</si>
  <si>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</si>
  <si>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</si>
  <si>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</si>
  <si>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</si>
  <si>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</si>
  <si>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</si>
  <si>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</si>
  <si>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</si>
  <si>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</si>
  <si>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</si>
  <si>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</si>
  <si>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</si>
  <si>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</si>
  <si>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</si>
  <si>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</si>
  <si>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</si>
  <si>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</si>
  <si>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</si>
  <si>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</si>
  <si>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</si>
  <si>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</si>
  <si>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</si>
  <si>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</si>
  <si>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</si>
  <si>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</si>
  <si>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</si>
  <si>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</si>
  <si>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</si>
  <si>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</si>
  <si>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</si>
  <si>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</si>
  <si>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</si>
  <si>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</si>
  <si>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</si>
  <si>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</si>
  <si>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</si>
  <si>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</si>
  <si>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</si>
  <si>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</si>
  <si>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</si>
  <si>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</si>
  <si>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</si>
  <si>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</si>
  <si>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</si>
  <si>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</si>
  <si>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</si>
  <si>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</si>
  <si>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</si>
  <si>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</si>
  <si>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</si>
  <si>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</si>
  <si>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</si>
  <si>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</si>
  <si>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</si>
  <si>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</si>
  <si>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</si>
  <si>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</si>
  <si>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</si>
  <si>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</si>
  <si>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</si>
  <si>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</si>
  <si>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</si>
  <si>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</si>
  <si>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</si>
  <si>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</si>
  <si>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</si>
  <si>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</si>
  <si>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</si>
  <si>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</si>
  <si>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</si>
  <si>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</si>
  <si>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</si>
  <si>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</si>
  <si>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</si>
  <si>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</si>
  <si>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</si>
  <si>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</si>
  <si>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</si>
  <si>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</si>
  <si>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</si>
  <si>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</si>
  <si>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</si>
  <si>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</si>
  <si>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</si>
  <si>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</si>
  <si>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</si>
  <si>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</si>
  <si>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</si>
  <si>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</si>
  <si>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</si>
  <si>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</si>
  <si>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</si>
  <si>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</si>
  <si>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</si>
  <si>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</si>
  <si>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</si>
  <si>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</si>
  <si>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</si>
  <si>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</si>
  <si>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</si>
  <si>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</si>
  <si>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</si>
  <si>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</si>
  <si>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</si>
  <si>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</si>
  <si>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</si>
  <si>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</si>
  <si>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</si>
  <si>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</si>
  <si>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</si>
  <si>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</si>
  <si>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</si>
  <si>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</si>
  <si>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</si>
  <si>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</si>
  <si>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</si>
  <si>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</si>
  <si>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</si>
  <si>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</si>
  <si>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</si>
  <si>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</si>
  <si>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</si>
  <si>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</si>
  <si>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</si>
  <si>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</si>
  <si>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</si>
  <si>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</si>
  <si>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</si>
  <si>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</si>
  <si>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</si>
  <si>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</si>
  <si>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</si>
  <si>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</si>
  <si>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</si>
  <si>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</si>
  <si>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</si>
  <si>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</si>
  <si>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</si>
  <si>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</si>
  <si>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</si>
  <si>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</si>
  <si>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</si>
  <si>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</si>
  <si>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</si>
  <si>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</si>
  <si>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</si>
  <si>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</si>
  <si>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</si>
  <si>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</si>
  <si>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</si>
  <si>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</si>
  <si>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</si>
  <si>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</si>
  <si>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</si>
  <si>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</si>
  <si>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</si>
  <si>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</si>
  <si>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</si>
  <si>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</si>
  <si>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</si>
  <si>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</si>
  <si>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</si>
  <si>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</si>
  <si>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</si>
  <si>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</si>
  <si>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</si>
  <si>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</si>
  <si>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</si>
  <si>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</si>
  <si>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</si>
  <si>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</si>
  <si>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</si>
  <si>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</si>
  <si>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</si>
  <si>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</si>
  <si>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</si>
  <si>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</si>
  <si>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</si>
  <si>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</si>
  <si>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</si>
  <si>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</si>
  <si>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</si>
  <si>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</si>
  <si>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</si>
  <si>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</si>
  <si>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</si>
  <si>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</si>
  <si>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</si>
  <si>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</si>
  <si>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</si>
  <si>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</si>
  <si>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</si>
  <si>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</si>
  <si>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</si>
  <si>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</si>
  <si>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</si>
  <si>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</si>
  <si>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</si>
  <si>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</si>
  <si>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</si>
  <si>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</si>
  <si>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</si>
  <si>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</si>
  <si>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</si>
  <si>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</si>
  <si>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</si>
  <si>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</si>
  <si>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</si>
  <si>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</si>
  <si>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</si>
  <si>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</si>
  <si>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</si>
  <si>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</si>
  <si>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</si>
  <si>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</si>
  <si>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</si>
  <si>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</si>
  <si>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</si>
  <si>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</si>
  <si>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</si>
  <si>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</si>
  <si>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</si>
  <si>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</si>
  <si>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</si>
  <si>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</si>
  <si>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</si>
  <si>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</si>
  <si>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</si>
  <si>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</si>
  <si>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</si>
  <si>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</si>
  <si>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</si>
  <si>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</si>
  <si>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</si>
  <si>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</si>
  <si>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</si>
  <si>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</si>
  <si>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</si>
  <si>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</si>
  <si>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</si>
  <si>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</si>
  <si>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</si>
  <si>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</si>
  <si>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</si>
  <si>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</si>
  <si>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</si>
  <si>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</si>
  <si>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</si>
  <si>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</si>
  <si>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</si>
  <si>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</si>
  <si>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</si>
  <si>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</si>
  <si>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</si>
  <si>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</si>
  <si>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</si>
  <si>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</si>
  <si>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0981.HK</t>
  </si>
  <si>
    <t>SMIC</t>
  </si>
  <si>
    <t>USD</t>
  </si>
  <si>
    <t>Quarter</t>
  </si>
  <si>
    <t>CN</t>
  </si>
  <si>
    <t xml:space="preserve">中國區 </t>
  </si>
  <si>
    <t>美國區</t>
  </si>
  <si>
    <t>歐亞區</t>
  </si>
  <si>
    <t>中美脱钩</t>
  </si>
  <si>
    <t>Yes</t>
  </si>
  <si>
    <t>P/S</t>
  </si>
  <si>
    <t>Last 3yrs PS is 4.34x</t>
  </si>
  <si>
    <t>Direct TV Inputs</t>
  </si>
  <si>
    <t>P/B</t>
  </si>
  <si>
    <t>LFY P/S</t>
  </si>
  <si>
    <t>Last 1yr Company PS is 2.69x, Past 3m Industry PS is 2.11x</t>
  </si>
  <si>
    <t>Best Semiconductor Business in China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</si>
  <si>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</si>
  <si>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</si>
  <si>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</si>
  <si>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</si>
  <si>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</si>
  <si>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</si>
  <si>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t>Fast Growers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</si>
  <si>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</si>
  <si>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</si>
  <si>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Assumes a higher ROE than in the Past given the firm's competitive advantages in bullish scenario</t>
  </si>
  <si>
    <t>4. The Company's Liquidity and leverage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</si>
</sst>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4" fontId="2" fillId="0" borderId="42" xfId="0" applyNumberFormat="1" applyFont="1" applyBorder="1" applyAlignment="1">
      <alignment horizontal="center"/>
    </xf>
    <xf numFmtId="4" fontId="2" fillId="0" borderId="71" xfId="0" applyNumberFormat="1" applyFont="1" applyBorder="1" applyAlignment="1">
      <alignment horizontal="center"/>
    </xf>
    <xf numFmtId="3" fontId="5" fillId="0" borderId="0" xfId="0" applyNumberFormat="1" applyFont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  <xf numFmtId="10" fontId="2" fillId="8" borderId="16" xfId="0" applyNumberFormat="1" applyFont="1" applyFill="1" applyBorder="1" applyAlignment="1">
      <alignment horizontal="center"/>
    </xf>
    <xf numFmtId="10" fontId="2" fillId="15" borderId="16" xfId="0" applyNumberFormat="1" applyFont="1" applyFill="1" applyBorder="1" applyAlignment="1">
      <alignment horizontal="center"/>
    </xf>
    <xf numFmtId="10" fontId="2" fillId="15" borderId="126" xfId="0" applyNumberFormat="1" applyFont="1" applyFill="1" applyBorder="1" applyAlignment="1">
      <alignment horizontal="center"/>
    </xf>
    <xf numFmtId="10" fontId="7" fillId="0" borderId="41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3" sqref="C33:D33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3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1" t="s">
        <v>342</v>
      </c>
      <c r="D3" s="432"/>
      <c r="E3" s="15"/>
      <c r="G3" s="7" t="s">
        <v>2</v>
      </c>
      <c r="I3" s="441" t="s">
        <v>3</v>
      </c>
      <c r="J3" s="442"/>
    </row>
    <row r="4" spans="1:12" ht="15.75" customHeight="1">
      <c r="B4" s="5" t="s">
        <v>4</v>
      </c>
      <c r="C4" s="433" t="s">
        <v>343</v>
      </c>
      <c r="D4" s="434"/>
      <c r="E4" s="6"/>
      <c r="G4" s="5" t="s">
        <v>5</v>
      </c>
      <c r="I4" s="31">
        <v>18.52</v>
      </c>
      <c r="J4" s="32" t="s">
        <v>6</v>
      </c>
      <c r="K4" s="144"/>
    </row>
    <row r="5" spans="1:12" ht="15.75" customHeight="1">
      <c r="B5" s="5" t="s">
        <v>7</v>
      </c>
      <c r="C5" s="435">
        <v>44987</v>
      </c>
      <c r="D5" s="434"/>
      <c r="E5" s="117" t="str">
        <f ca="1">IF(C5+30&gt;=TODAY(),"Patience Premium","")</f>
        <v/>
      </c>
      <c r="G5" s="5" t="s">
        <v>8</v>
      </c>
      <c r="I5" s="406">
        <v>5968529920</v>
      </c>
      <c r="J5" s="407"/>
      <c r="K5" s="143"/>
      <c r="L5" s="82"/>
    </row>
    <row r="6" spans="1:12" ht="15.75" customHeight="1">
      <c r="B6" s="12" t="s">
        <v>227</v>
      </c>
      <c r="C6" s="242">
        <v>8</v>
      </c>
      <c r="D6" s="243">
        <f>EOMONTH(EDATE(Asset_Model!D9,C6),0)</f>
        <v>44895</v>
      </c>
      <c r="E6" s="311">
        <f>IF(Asset_Model!E9="FY",Asset_Model!D9,Data!C3)</f>
        <v>44926</v>
      </c>
      <c r="G6" s="126" t="s">
        <v>9</v>
      </c>
      <c r="H6" s="125"/>
      <c r="I6" s="443">
        <f>I4*I5/1000000</f>
        <v>110537.1741184</v>
      </c>
      <c r="J6" s="444"/>
      <c r="K6" s="143"/>
    </row>
    <row r="7" spans="1:12" ht="15.75" customHeight="1">
      <c r="B7" s="131" t="s">
        <v>10</v>
      </c>
      <c r="C7" s="137">
        <f>(Data!C39*Exchange_Rate)/I4</f>
        <v>0</v>
      </c>
      <c r="D7" s="137">
        <f>(Data!C40*Exchange_Rate)/I4</f>
        <v>2.7075618806449721E-3</v>
      </c>
      <c r="E7" s="145"/>
      <c r="F7" s="6"/>
    </row>
    <row r="8" spans="1:12" ht="15.75" customHeight="1">
      <c r="C8" s="91"/>
      <c r="E8" s="6"/>
      <c r="G8" s="21" t="s">
        <v>11</v>
      </c>
      <c r="H8" s="124"/>
      <c r="I8" s="6"/>
      <c r="J8" s="6"/>
    </row>
    <row r="9" spans="1:12" ht="15.75" customHeight="1">
      <c r="B9" s="21" t="s">
        <v>12</v>
      </c>
      <c r="C9" s="269"/>
      <c r="D9" s="267"/>
      <c r="E9" s="5"/>
      <c r="G9" s="5" t="s">
        <v>13</v>
      </c>
      <c r="I9" s="116">
        <f>IF(Data!F3&lt;=0,"NNI",I4/((Data!F3*I12)/(I5/Data!C4)))</f>
        <v>7.7839328461710204</v>
      </c>
      <c r="J9" s="47">
        <f>IF(I9="NNI","NNI",1/I9)</f>
        <v>0.12846976197795798</v>
      </c>
    </row>
    <row r="10" spans="1:12" ht="15.75" customHeight="1">
      <c r="B10" s="3" t="s">
        <v>241</v>
      </c>
      <c r="C10" s="268" t="s">
        <v>346</v>
      </c>
      <c r="D10" s="268">
        <v>3.6810000000000002E-2</v>
      </c>
      <c r="E10" s="5"/>
      <c r="G10" s="5" t="s">
        <v>362</v>
      </c>
      <c r="I10" s="130">
        <f>I4/(Data!C28*I12*Data!C4/Common_Shares)</f>
        <v>0.48860649642273551</v>
      </c>
      <c r="J10" s="122">
        <f>I4/(Data!C7*Data!C4/Common_Shares*Exchange_Rate)</f>
        <v>1.9455776023916898</v>
      </c>
    </row>
    <row r="11" spans="1:12" ht="15.75" customHeight="1" thickBot="1">
      <c r="B11" s="277" t="s">
        <v>242</v>
      </c>
      <c r="C11" s="404">
        <f ca="1">C12-D10</f>
        <v>4.3189999999999999E-2</v>
      </c>
      <c r="D11" s="405"/>
      <c r="E11" s="13"/>
      <c r="G11" s="5" t="s">
        <v>14</v>
      </c>
      <c r="H11" s="6"/>
      <c r="I11" s="453" t="s">
        <v>344</v>
      </c>
      <c r="J11" s="454"/>
    </row>
    <row r="12" spans="1:12" ht="15.75" customHeight="1" thickTop="1">
      <c r="B12" s="278" t="s">
        <v>137</v>
      </c>
      <c r="C12" s="451">
        <f ca="1">IF(C10="CN",8%,6%)*IF($C$5+30&gt;=TODAY(),1.2,1)</f>
        <v>0.08</v>
      </c>
      <c r="D12" s="452"/>
      <c r="G12" s="126" t="s">
        <v>15</v>
      </c>
      <c r="H12" s="125"/>
      <c r="I12" s="127">
        <v>7.8114067713419599</v>
      </c>
      <c r="J12" s="128" t="str">
        <f>IF(I11=Dashboard!J4,J4,I11&amp;"/"&amp;Dashboard!J4)</f>
        <v>USD/HKD</v>
      </c>
    </row>
    <row r="13" spans="1:12" ht="15.75" customHeight="1"/>
    <row r="14" spans="1:12" ht="15.75" customHeight="1">
      <c r="A14" s="10"/>
      <c r="B14" s="20" t="s">
        <v>16</v>
      </c>
      <c r="C14" s="331" t="s">
        <v>294</v>
      </c>
      <c r="D14" s="228"/>
      <c r="E14" s="183">
        <f ca="1">'Val Models'!C45</f>
        <v>12.894858976534021</v>
      </c>
      <c r="F14" s="176"/>
      <c r="G14" s="177"/>
      <c r="H14" s="331" t="s">
        <v>341</v>
      </c>
      <c r="I14" s="384">
        <v>0.25</v>
      </c>
      <c r="J14" s="125"/>
    </row>
    <row r="15" spans="1:12" ht="15.75" customHeight="1">
      <c r="A15" s="6"/>
      <c r="B15" s="214" t="str">
        <f>"(in "&amp;J4&amp;")"</f>
        <v>(in HKD)</v>
      </c>
      <c r="C15" s="215" t="s">
        <v>340</v>
      </c>
      <c r="D15" s="85" t="s">
        <v>17</v>
      </c>
      <c r="E15" s="131"/>
      <c r="F15" s="59" t="s">
        <v>20</v>
      </c>
      <c r="H15" s="336" t="s">
        <v>19</v>
      </c>
      <c r="I15" s="85" t="s">
        <v>328</v>
      </c>
      <c r="J15" s="85" t="s">
        <v>18</v>
      </c>
    </row>
    <row r="16" spans="1:12" ht="15.75" customHeight="1">
      <c r="B16" s="123">
        <f>I4</f>
        <v>18.52</v>
      </c>
      <c r="C16" s="427">
        <v>0.2</v>
      </c>
      <c r="D16" s="151">
        <f ca="1">I37/B16-(1+C16)</f>
        <v>-0.19865670743320929</v>
      </c>
      <c r="E16" s="418" t="s">
        <v>21</v>
      </c>
      <c r="F16" s="445">
        <f>('Val Models'!G17)*Exchange_Rate</f>
        <v>-5.2984304315196171</v>
      </c>
      <c r="G16" s="418" t="s">
        <v>22</v>
      </c>
      <c r="H16" s="337">
        <f>B16-$F$16</f>
        <v>23.818430431519616</v>
      </c>
      <c r="I16" s="413">
        <v>0</v>
      </c>
      <c r="J16" s="153">
        <f>I16/B16</f>
        <v>0</v>
      </c>
    </row>
    <row r="17" spans="1:10" ht="15.75" customHeight="1">
      <c r="B17" s="258">
        <f ca="1">MIN((I37+I38)/2,I37/(1+C16), IF(D20&lt;&gt;"Fast Growers",E14,I37/(1+C16)))</f>
        <v>14.430382479782089</v>
      </c>
      <c r="C17" s="428"/>
      <c r="D17" s="257">
        <f ca="1">I37/B17-(1+C16)</f>
        <v>8.5127251777251889E-2</v>
      </c>
      <c r="E17" s="419"/>
      <c r="F17" s="446"/>
      <c r="G17" s="419"/>
      <c r="H17" s="338">
        <f ca="1">B17-$F$16</f>
        <v>19.728812911301706</v>
      </c>
      <c r="I17" s="414"/>
      <c r="J17" s="154">
        <f ca="1">I16/B17</f>
        <v>0</v>
      </c>
    </row>
    <row r="18" spans="1:10" ht="15.75" customHeight="1">
      <c r="B18" s="312">
        <f>C37</f>
        <v>13.8</v>
      </c>
      <c r="C18" s="429"/>
      <c r="D18" s="152">
        <f ca="1">I37/B18-(1+C16)</f>
        <v>0.1438317230678956</v>
      </c>
      <c r="E18" s="420"/>
      <c r="F18" s="447"/>
      <c r="G18" s="420"/>
      <c r="H18" s="339">
        <f>B18-$F$16</f>
        <v>19.098430431519617</v>
      </c>
      <c r="I18" s="415"/>
      <c r="J18" s="155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23</v>
      </c>
      <c r="C20" s="5" t="s">
        <v>225</v>
      </c>
      <c r="D20" s="259" t="s">
        <v>365</v>
      </c>
      <c r="E20" s="239" t="s">
        <v>234</v>
      </c>
      <c r="G20" s="6"/>
      <c r="H20" s="6"/>
      <c r="I20" s="314"/>
    </row>
    <row r="21" spans="1:10" ht="15.75" customHeight="1">
      <c r="A21" s="6"/>
      <c r="B21" s="24" t="s">
        <v>24</v>
      </c>
      <c r="C21" s="438"/>
      <c r="D21" s="439"/>
      <c r="E21" s="439"/>
      <c r="F21" s="439"/>
      <c r="G21" s="439"/>
      <c r="H21" s="439"/>
      <c r="I21" s="439"/>
      <c r="J21" s="440"/>
    </row>
    <row r="22" spans="1:10" ht="52.5" customHeight="1">
      <c r="A22" s="6"/>
      <c r="B22" s="24" t="s">
        <v>25</v>
      </c>
      <c r="C22" s="449"/>
      <c r="D22" s="450"/>
      <c r="E22" s="450"/>
      <c r="F22" s="450"/>
      <c r="G22" s="449"/>
      <c r="H22" s="449"/>
      <c r="I22" s="450"/>
      <c r="J22" s="450"/>
    </row>
    <row r="23" spans="1:10" ht="52.5" customHeight="1">
      <c r="A23" s="6"/>
      <c r="B23" s="24" t="s">
        <v>26</v>
      </c>
      <c r="C23" s="416"/>
      <c r="D23" s="417"/>
      <c r="E23" s="417"/>
      <c r="F23" s="417"/>
      <c r="G23" s="416"/>
      <c r="H23" s="416"/>
      <c r="I23" s="417"/>
      <c r="J23" s="417"/>
    </row>
    <row r="24" spans="1:10" ht="52.5" customHeight="1">
      <c r="A24" s="6"/>
      <c r="B24" s="24" t="s">
        <v>307</v>
      </c>
      <c r="C24" s="455"/>
      <c r="D24" s="456"/>
      <c r="E24" s="456"/>
      <c r="F24" s="456"/>
      <c r="G24" s="456"/>
      <c r="H24" s="456"/>
      <c r="I24" s="456"/>
      <c r="J24" s="457"/>
    </row>
    <row r="25" spans="1:10" ht="52.5" customHeight="1">
      <c r="A25" s="6"/>
      <c r="B25" s="344" t="s">
        <v>306</v>
      </c>
      <c r="C25" s="458"/>
      <c r="D25" s="459"/>
      <c r="E25" s="459"/>
      <c r="F25" s="459"/>
      <c r="G25" s="459"/>
      <c r="H25" s="459"/>
      <c r="I25" s="459"/>
      <c r="J25" s="46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27</v>
      </c>
      <c r="C27" s="22" t="s">
        <v>28</v>
      </c>
      <c r="D27" s="33">
        <v>660000</v>
      </c>
      <c r="E27" s="12"/>
      <c r="F27" s="8"/>
      <c r="G27" s="12"/>
      <c r="H27" s="341" t="s">
        <v>301</v>
      </c>
      <c r="I27" s="29"/>
      <c r="J27" s="385">
        <f>C16</f>
        <v>0.2</v>
      </c>
    </row>
    <row r="28" spans="1:10" ht="15.75" customHeight="1">
      <c r="B28" s="23" t="s">
        <v>29</v>
      </c>
      <c r="C28" s="436"/>
      <c r="D28" s="437"/>
      <c r="E28" s="424" t="str">
        <f>IF(C28="","","Action_Planning")</f>
        <v/>
      </c>
      <c r="F28" s="425"/>
      <c r="G28" s="425"/>
      <c r="H28" s="426"/>
      <c r="I28" s="448" t="s">
        <v>30</v>
      </c>
      <c r="J28" s="448"/>
    </row>
    <row r="29" spans="1:10" ht="15.75" customHeight="1">
      <c r="B29" s="23" t="s">
        <v>31</v>
      </c>
      <c r="C29" s="412">
        <f>C33/D27</f>
        <v>0.16309090909090909</v>
      </c>
      <c r="D29" s="403"/>
      <c r="E29" s="411">
        <f>E33/D27</f>
        <v>0</v>
      </c>
      <c r="F29" s="403"/>
      <c r="G29" s="422">
        <f>G33/D27</f>
        <v>0</v>
      </c>
      <c r="H29" s="423"/>
      <c r="I29" s="421">
        <f>C29+E29+G29</f>
        <v>0.16309090909090909</v>
      </c>
      <c r="J29" s="421"/>
    </row>
    <row r="30" spans="1:10" ht="15.75" customHeight="1">
      <c r="B30" s="23" t="s">
        <v>32</v>
      </c>
      <c r="C30" s="393">
        <v>7800</v>
      </c>
      <c r="D30" s="394"/>
      <c r="E30" s="393"/>
      <c r="F30" s="394"/>
      <c r="G30" s="406"/>
      <c r="H30" s="407"/>
      <c r="I30" s="430">
        <f>C30+E30+G30</f>
        <v>7800</v>
      </c>
      <c r="J30" s="430"/>
    </row>
    <row r="31" spans="1:10" ht="15.75" customHeight="1">
      <c r="B31" s="23" t="s">
        <v>33</v>
      </c>
      <c r="C31" s="395">
        <v>13.8</v>
      </c>
      <c r="D31" s="394"/>
      <c r="E31" s="395"/>
      <c r="F31" s="394"/>
      <c r="G31" s="409"/>
      <c r="H31" s="410"/>
      <c r="I31" s="408"/>
      <c r="J31" s="408"/>
    </row>
    <row r="32" spans="1:10" ht="15.75" customHeight="1">
      <c r="B32" s="23" t="s">
        <v>34</v>
      </c>
      <c r="C32" s="396">
        <f>C31*$I$5/1000000</f>
        <v>82365.712895999997</v>
      </c>
      <c r="D32" s="397"/>
      <c r="E32" s="396">
        <f>E31*$I$5/1000000</f>
        <v>0</v>
      </c>
      <c r="F32" s="397"/>
      <c r="G32" s="468">
        <f>G31*$I$5/1000000</f>
        <v>0</v>
      </c>
      <c r="H32" s="469"/>
      <c r="I32" s="472"/>
      <c r="J32" s="472"/>
    </row>
    <row r="33" spans="2:11" ht="15.75" customHeight="1">
      <c r="B33" s="2" t="s">
        <v>35</v>
      </c>
      <c r="C33" s="398">
        <f>C30*C31</f>
        <v>107640</v>
      </c>
      <c r="D33" s="399"/>
      <c r="E33" s="400">
        <f>E30*E31</f>
        <v>0</v>
      </c>
      <c r="F33" s="401"/>
      <c r="G33" s="470">
        <f>G30*G31</f>
        <v>0</v>
      </c>
      <c r="H33" s="471"/>
      <c r="I33" s="400">
        <f>C33+E33+G33</f>
        <v>107640</v>
      </c>
      <c r="J33" s="400"/>
    </row>
    <row r="34" spans="2:11" ht="15.75" customHeight="1">
      <c r="B34" s="1" t="s">
        <v>36</v>
      </c>
      <c r="C34" s="473"/>
      <c r="D34" s="474"/>
      <c r="E34" s="402">
        <f>IF(C33=0,"-",(C33+E33)/(C30+E30))</f>
        <v>13.8</v>
      </c>
      <c r="F34" s="403"/>
      <c r="G34" s="112"/>
      <c r="H34" s="112"/>
      <c r="I34" s="402">
        <f>IF(I33=0,"",I33/I30)</f>
        <v>13.8</v>
      </c>
      <c r="J34" s="402"/>
    </row>
    <row r="35" spans="2:11" ht="15.75" customHeight="1">
      <c r="B35" s="1" t="s">
        <v>37</v>
      </c>
      <c r="C35" s="475"/>
      <c r="D35" s="476"/>
      <c r="E35" s="396">
        <f>IF(E34="-","-",E34*$I$5/1000000)</f>
        <v>82365.712895999997</v>
      </c>
      <c r="F35" s="397"/>
      <c r="G35" s="113"/>
      <c r="H35" s="113"/>
      <c r="I35" s="396">
        <f>IF(I34="","",I34*$I$5/1000000)</f>
        <v>82365.712895999997</v>
      </c>
      <c r="J35" s="396"/>
    </row>
    <row r="36" spans="2:11" ht="15.75" customHeight="1"/>
    <row r="37" spans="2:11" ht="15.75" customHeight="1">
      <c r="B37" s="138" t="s">
        <v>271</v>
      </c>
      <c r="C37" s="464">
        <f>C31</f>
        <v>13.8</v>
      </c>
      <c r="D37" s="465"/>
      <c r="E37" s="148" t="str">
        <f ca="1">IF(C37&gt;B17,"Caution! &gt; Breakeven price!","")</f>
        <v/>
      </c>
      <c r="G37" s="461" t="s">
        <v>334</v>
      </c>
      <c r="H37" s="461"/>
      <c r="I37" s="462">
        <f ca="1">'Val Models'!C47</f>
        <v>18.544877778336961</v>
      </c>
      <c r="J37" s="463"/>
    </row>
    <row r="38" spans="2:11" ht="15.75" customHeight="1">
      <c r="B38" s="138" t="s">
        <v>296</v>
      </c>
      <c r="C38" s="464">
        <f>E34</f>
        <v>13.8</v>
      </c>
      <c r="D38" s="465"/>
      <c r="G38" s="466" t="s">
        <v>295</v>
      </c>
      <c r="H38" s="467"/>
      <c r="I38" s="462">
        <f ca="1">'Val Models'!C48</f>
        <v>10.315887181227216</v>
      </c>
      <c r="J38" s="463"/>
    </row>
    <row r="39" spans="2:11" ht="15.75" customHeight="1"/>
    <row r="40" spans="2:11" ht="15.75" customHeight="1">
      <c r="B40" s="21" t="s">
        <v>281</v>
      </c>
      <c r="G40" s="308" t="s">
        <v>128</v>
      </c>
      <c r="H40" s="125"/>
      <c r="I40" s="125"/>
      <c r="J40" s="125"/>
      <c r="K40" s="313"/>
    </row>
    <row r="41" spans="2:11" ht="15.75" customHeight="1">
      <c r="B41" s="3" t="s">
        <v>283</v>
      </c>
      <c r="F41" s="199">
        <f>'Qualitative Analysis'!E8</f>
        <v>0.38</v>
      </c>
      <c r="G41" s="320"/>
      <c r="H41" s="111"/>
      <c r="I41" s="111"/>
      <c r="J41" s="111"/>
    </row>
    <row r="42" spans="2:11" ht="15.75" customHeight="1">
      <c r="B42" s="3" t="s">
        <v>282</v>
      </c>
      <c r="F42" s="199">
        <f>80%-(5%*IF(LEFT(D20,2)="St",2,IF(LEFT(D20,2)="Sl",3,IF(LEFT(D20,2)="Cy",4,IF(LEFT(D20,2)="Tu",5,IF(LEFT(D20,2)="Fa",6,0))))))</f>
        <v>0.5</v>
      </c>
      <c r="G42" s="72"/>
      <c r="H42" s="72"/>
      <c r="I42" s="72"/>
      <c r="J42" s="72"/>
    </row>
    <row r="43" spans="2:11" ht="15.75" customHeight="1">
      <c r="B43" s="3" t="s">
        <v>288</v>
      </c>
      <c r="F43" s="318">
        <f>'Qualitative Analysis'!E64</f>
        <v>0.48357142857142854</v>
      </c>
      <c r="G43" s="320"/>
      <c r="H43" s="111"/>
      <c r="I43" s="111"/>
      <c r="J43" s="111"/>
    </row>
    <row r="44" spans="2:11" ht="15.75" customHeight="1">
      <c r="B44" s="3" t="s">
        <v>369</v>
      </c>
      <c r="F44" s="497">
        <f>AVERAGE(Asset_Model!J26/4,1-Asset_Model!I53)</f>
        <v>0.75899714274494179</v>
      </c>
      <c r="G44" s="72"/>
      <c r="H44" s="72"/>
      <c r="I44" s="72"/>
      <c r="J44" s="72"/>
    </row>
    <row r="45" spans="2:11" ht="15.75" customHeight="1">
      <c r="G45" s="111"/>
      <c r="H45" s="111"/>
      <c r="I45" s="111"/>
      <c r="J45" s="111"/>
    </row>
    <row r="46" spans="2:11" ht="15.75" customHeight="1">
      <c r="E46" s="247" t="s">
        <v>297</v>
      </c>
      <c r="F46" s="247" t="s">
        <v>298</v>
      </c>
    </row>
    <row r="47" spans="2:11" ht="15.75" customHeight="1">
      <c r="B47" s="3" t="s">
        <v>284</v>
      </c>
      <c r="E47" s="318">
        <f ca="1">I37/C31-1</f>
        <v>0.34383172306789556</v>
      </c>
      <c r="F47" s="318">
        <f ca="1">I37/C38-1</f>
        <v>0.34383172306789556</v>
      </c>
      <c r="J47" s="342"/>
    </row>
    <row r="48" spans="2:11" ht="15.75" customHeight="1">
      <c r="B48" s="3" t="s">
        <v>285</v>
      </c>
      <c r="E48" s="318">
        <f ca="1">'Val Models'!C48/C31-1</f>
        <v>-0.25247194338933221</v>
      </c>
      <c r="F48" s="318">
        <f ca="1">'Val Models'!C48/C38-1</f>
        <v>-0.25247194338933221</v>
      </c>
    </row>
    <row r="49" spans="2:9" ht="15.75" customHeight="1"/>
    <row r="50" spans="2:9" ht="15.75" customHeight="1">
      <c r="B50" s="3" t="s">
        <v>287</v>
      </c>
      <c r="E50" s="335">
        <f ca="1">IF(E47&lt;=0,0,AVERAGE(F41:F44,0.5*E51))</f>
        <v>0.56069982605537894</v>
      </c>
      <c r="F50" s="318">
        <f ca="1">IF(F47&lt;=0,0,AVERAGE(F41:F44,0.5*F51))</f>
        <v>0.56069982605537894</v>
      </c>
      <c r="G50" s="72"/>
    </row>
    <row r="51" spans="2:9" ht="15.75" customHeight="1">
      <c r="B51" s="3" t="s">
        <v>286</v>
      </c>
      <c r="D51" s="315"/>
      <c r="E51" s="317">
        <f ca="1">IF(E48&gt;=0,100,E47/ABS(E48))</f>
        <v>1.3618611179210482</v>
      </c>
      <c r="F51" s="317">
        <f ca="1">IF(F48&gt;=0,100,F47/ABS(F48))</f>
        <v>1.3618611179210482</v>
      </c>
      <c r="G51" s="72"/>
    </row>
    <row r="52" spans="2:9" ht="15.75" customHeight="1">
      <c r="B52" s="3" t="s">
        <v>299</v>
      </c>
      <c r="E52" s="340">
        <f ca="1">MAX(C16*2.5/E47,1)+IF(E47&lt;C16,100,0)</f>
        <v>1.4541997333424244</v>
      </c>
      <c r="F52" s="340">
        <f ca="1">MAX(C16*2.5/F47,1)+IF(F47&lt;C16,100,0)+IF(D18&lt;0,100,0)</f>
        <v>1.4541997333424244</v>
      </c>
      <c r="G52" s="319"/>
      <c r="H52" s="82"/>
      <c r="I52" s="82"/>
    </row>
    <row r="53" spans="2:9" ht="15.75" customHeight="1">
      <c r="B53" s="3" t="s">
        <v>300</v>
      </c>
      <c r="E53" s="316">
        <f ca="1">MIN(MAX(E50-ABS((1-E50)/E51),0)/E52,H53)</f>
        <v>0.16375083733884022</v>
      </c>
      <c r="F53" s="316">
        <f ca="1">MIN(MAX(F50-ABS((1-F50)/F51),0)/F52,H53)</f>
        <v>0.16375083733884022</v>
      </c>
      <c r="G53" s="319" t="s">
        <v>289</v>
      </c>
      <c r="H53" s="76">
        <v>0.4</v>
      </c>
    </row>
    <row r="54" spans="2:9" ht="15.75" customHeight="1"/>
    <row r="55" spans="2:9" ht="15.75" customHeight="1">
      <c r="B55" s="21" t="s">
        <v>291</v>
      </c>
    </row>
    <row r="56" spans="2:9" ht="15.75" customHeight="1">
      <c r="B56" s="343" t="s">
        <v>292</v>
      </c>
    </row>
    <row r="57" spans="2:9" ht="15.75" customHeight="1">
      <c r="B57" s="3" t="s">
        <v>303</v>
      </c>
    </row>
    <row r="58" spans="2:9" ht="15.75" customHeight="1">
      <c r="B58" s="3" t="s">
        <v>302</v>
      </c>
    </row>
    <row r="59" spans="2:9" ht="15.75" customHeight="1"/>
    <row r="60" spans="2:9" ht="15.75" customHeight="1">
      <c r="B60" s="343" t="s">
        <v>293</v>
      </c>
    </row>
    <row r="61" spans="2:9" ht="15.75" customHeight="1">
      <c r="B61" s="3" t="s">
        <v>304</v>
      </c>
    </row>
    <row r="62" spans="2:9" ht="15.75" customHeight="1">
      <c r="B62" s="3" t="s">
        <v>305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28" zoomScaleNormal="100" workbookViewId="0">
      <selection activeCell="C51" sqref="C51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38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41">
        <v>44926</v>
      </c>
      <c r="D3" s="6"/>
      <c r="E3" s="171">
        <v>1</v>
      </c>
      <c r="F3" s="169">
        <f t="array" ref="F3">AVERAGE(C19:INDEX(C19:M19,1,E3))</f>
        <v>1817942</v>
      </c>
      <c r="G3" s="6"/>
      <c r="H3" s="5"/>
      <c r="I3" s="6"/>
      <c r="J3" s="166"/>
      <c r="K3" s="6"/>
      <c r="L3" s="6"/>
      <c r="M3" s="6"/>
    </row>
    <row r="4" spans="1:14" ht="15.75" customHeight="1">
      <c r="A4" s="9"/>
      <c r="B4" s="5" t="s">
        <v>40</v>
      </c>
      <c r="C4" s="34">
        <v>1000</v>
      </c>
      <c r="D4" s="6"/>
      <c r="E4" s="40">
        <f>E3</f>
        <v>1</v>
      </c>
      <c r="F4" s="170">
        <f>AVERAGE(C16:INDEX(C16:M16,1,E4))</f>
        <v>2234084</v>
      </c>
      <c r="G4" s="6"/>
      <c r="I4" s="6"/>
      <c r="J4" s="8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1">
        <f>C3</f>
        <v>44926</v>
      </c>
      <c r="D6" s="252">
        <f>EOMONTH(EDATE(C6,-12),0)</f>
        <v>44561</v>
      </c>
      <c r="E6" s="252">
        <f t="shared" ref="E6:M6" si="0">EOMONTH(EDATE(D6,-12),0)</f>
        <v>44196</v>
      </c>
      <c r="F6" s="252">
        <f t="shared" si="0"/>
        <v>43830</v>
      </c>
      <c r="G6" s="252">
        <f t="shared" si="0"/>
        <v>43465</v>
      </c>
      <c r="H6" s="252">
        <f t="shared" si="0"/>
        <v>43100</v>
      </c>
      <c r="I6" s="252">
        <f t="shared" si="0"/>
        <v>42735</v>
      </c>
      <c r="J6" s="252">
        <f t="shared" si="0"/>
        <v>42369</v>
      </c>
      <c r="K6" s="252">
        <f t="shared" si="0"/>
        <v>42004</v>
      </c>
      <c r="L6" s="252">
        <f t="shared" si="0"/>
        <v>41639</v>
      </c>
      <c r="M6" s="252">
        <f t="shared" si="0"/>
        <v>41274</v>
      </c>
    </row>
    <row r="7" spans="1:14" ht="15.75" customHeight="1">
      <c r="A7" s="9"/>
      <c r="B7" s="42" t="s">
        <v>41</v>
      </c>
      <c r="C7" s="34">
        <v>7273284</v>
      </c>
      <c r="D7" s="34">
        <v>5443112</v>
      </c>
      <c r="E7" s="34">
        <v>3906975</v>
      </c>
      <c r="F7" s="34">
        <v>3115672</v>
      </c>
      <c r="G7" s="34"/>
      <c r="H7" s="34"/>
      <c r="I7" s="34"/>
      <c r="J7" s="34"/>
      <c r="K7" s="34"/>
      <c r="L7" s="34"/>
      <c r="M7" s="218"/>
      <c r="N7" s="6"/>
    </row>
    <row r="8" spans="1:14" ht="15.75" customHeight="1">
      <c r="A8" s="9"/>
      <c r="B8" s="43" t="s">
        <v>42</v>
      </c>
      <c r="C8" s="14">
        <f t="shared" ref="C8:L8" si="1">IF(D7="","",C7/D7-1)</f>
        <v>0.33623632951150006</v>
      </c>
      <c r="D8" s="14">
        <f t="shared" si="1"/>
        <v>0.39317809814498439</v>
      </c>
      <c r="E8" s="14">
        <f t="shared" si="1"/>
        <v>0.25397506541125003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5"/>
      <c r="N8" s="6"/>
    </row>
    <row r="9" spans="1:14" ht="15.75" customHeight="1">
      <c r="A9" s="9"/>
      <c r="B9" s="43" t="s">
        <v>43</v>
      </c>
      <c r="C9" s="34">
        <v>4511636</v>
      </c>
      <c r="D9" s="34">
        <v>3767342</v>
      </c>
      <c r="E9" s="34">
        <v>2986062</v>
      </c>
      <c r="F9" s="34">
        <v>2473213</v>
      </c>
      <c r="G9" s="34"/>
      <c r="H9" s="34"/>
      <c r="I9" s="34"/>
      <c r="J9" s="34"/>
      <c r="K9" s="34"/>
      <c r="L9" s="34"/>
      <c r="M9" s="218"/>
      <c r="N9" s="6"/>
    </row>
    <row r="10" spans="1:14" ht="15.75" customHeight="1">
      <c r="A10" s="9"/>
      <c r="B10" s="43" t="s">
        <v>44</v>
      </c>
      <c r="C10" s="14">
        <f t="shared" ref="C10:M10" si="2">IF(C7="","",(C7-C9)/C7)</f>
        <v>0.37969753415376051</v>
      </c>
      <c r="D10" s="14">
        <f t="shared" si="2"/>
        <v>0.3078698362260413</v>
      </c>
      <c r="E10" s="14">
        <f t="shared" si="2"/>
        <v>0.23570998022766976</v>
      </c>
      <c r="F10" s="14">
        <f t="shared" si="2"/>
        <v>0.20620238587373768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5" t="str">
        <f t="shared" si="2"/>
        <v/>
      </c>
      <c r="N10" s="6"/>
    </row>
    <row r="11" spans="1:14" ht="15.75" customHeight="1">
      <c r="A11" s="9"/>
      <c r="B11" s="43" t="s">
        <v>45</v>
      </c>
      <c r="C11" s="34">
        <v>527564</v>
      </c>
      <c r="D11" s="34">
        <v>303345</v>
      </c>
      <c r="E11" s="34">
        <v>295842</v>
      </c>
      <c r="F11" s="34">
        <v>281760</v>
      </c>
      <c r="G11" s="34"/>
      <c r="H11" s="34"/>
      <c r="I11" s="34"/>
      <c r="J11" s="34"/>
      <c r="K11" s="34"/>
      <c r="L11" s="34"/>
      <c r="M11" s="218"/>
      <c r="N11" s="6"/>
    </row>
    <row r="12" spans="1:14" ht="15.75" customHeight="1">
      <c r="A12" s="9"/>
      <c r="B12" s="43" t="s">
        <v>46</v>
      </c>
      <c r="C12" s="14">
        <f t="shared" ref="C12:M12" si="3">IF(C7="","",C10-C13)</f>
        <v>7.2534497484217586E-2</v>
      </c>
      <c r="D12" s="14">
        <f t="shared" si="3"/>
        <v>5.573006765247529E-2</v>
      </c>
      <c r="E12" s="14">
        <f t="shared" si="3"/>
        <v>7.5721498089954514E-2</v>
      </c>
      <c r="F12" s="14">
        <f t="shared" si="3"/>
        <v>9.0433139303495377E-2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5" t="str">
        <f t="shared" si="3"/>
        <v/>
      </c>
      <c r="N12" s="6"/>
    </row>
    <row r="13" spans="1:14" ht="15.75" customHeight="1">
      <c r="A13" s="9"/>
      <c r="B13" s="43" t="s">
        <v>47</v>
      </c>
      <c r="C13" s="14">
        <f t="shared" ref="C13:M13" si="4">IF(C14="","",C14/C7)</f>
        <v>0.30716303666954292</v>
      </c>
      <c r="D13" s="14">
        <f t="shared" si="4"/>
        <v>0.25213976857356601</v>
      </c>
      <c r="E13" s="14">
        <f t="shared" si="4"/>
        <v>0.15998848213771524</v>
      </c>
      <c r="F13" s="14">
        <f t="shared" si="4"/>
        <v>0.1157692465702423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5" t="str">
        <f t="shared" si="4"/>
        <v/>
      </c>
      <c r="N13" s="6"/>
    </row>
    <row r="14" spans="1:14" ht="15.75" customHeight="1">
      <c r="A14" s="9"/>
      <c r="B14" s="43" t="s">
        <v>48</v>
      </c>
      <c r="C14" s="26">
        <f t="shared" ref="C14:M14" si="5">IF(C7="","",C7-C9-C11)</f>
        <v>2234084</v>
      </c>
      <c r="D14" s="26">
        <f t="shared" si="5"/>
        <v>1372425</v>
      </c>
      <c r="E14" s="26">
        <f t="shared" si="5"/>
        <v>625071</v>
      </c>
      <c r="F14" s="26">
        <f t="shared" si="5"/>
        <v>360699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19" t="str">
        <f t="shared" si="5"/>
        <v/>
      </c>
      <c r="N14" s="6"/>
    </row>
    <row r="15" spans="1:14" ht="15.75" customHeight="1">
      <c r="A15" s="9"/>
      <c r="B15" s="43" t="s">
        <v>49</v>
      </c>
      <c r="C15" s="14">
        <f>IF(D14="","",IF(ABS(C14+D14)=ABS(C14)+ABS(D14),IF(C14&lt;0,-1,1)*(C14-D14)/D14,"Turn"))</f>
        <v>0.62783685811610834</v>
      </c>
      <c r="D15" s="14">
        <f t="shared" ref="D15:M15" si="6">IF(E14="","",IF(ABS(D14+E14)=ABS(D14)+ABS(E14),IF(D14&lt;0,-1,1)*(D14-E14)/E14,"Turn"))</f>
        <v>1.1956305763665247</v>
      </c>
      <c r="E15" s="14">
        <f t="shared" si="6"/>
        <v>0.73294353463691331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5" t="str">
        <f t="shared" si="6"/>
        <v/>
      </c>
      <c r="N15" s="6"/>
    </row>
    <row r="16" spans="1:14" ht="15.75" customHeight="1">
      <c r="A16" s="9"/>
      <c r="B16" s="43" t="s">
        <v>50</v>
      </c>
      <c r="C16" s="135">
        <f>IF(C14="","",C14*(1-Operation!$D$17))</f>
        <v>2234084</v>
      </c>
      <c r="D16" s="135">
        <f>IF(D14="","",D14*(1-Operation!$D$17))</f>
        <v>1372425</v>
      </c>
      <c r="E16" s="135">
        <f>IF(E14="","",E14*(1-Operation!$D$17))</f>
        <v>625071</v>
      </c>
      <c r="F16" s="135">
        <f>IF(F14="","",F14*(1-Operation!$D$17))</f>
        <v>360699</v>
      </c>
      <c r="G16" s="135" t="str">
        <f>IF(G14="","",G14*(1-Operation!$D$17))</f>
        <v/>
      </c>
      <c r="H16" s="135" t="str">
        <f>IF(H14="","",H14*(1-Operation!$D$17))</f>
        <v/>
      </c>
      <c r="I16" s="135" t="str">
        <f>IF(I14="","",I14*(1-Operation!$D$17))</f>
        <v/>
      </c>
      <c r="J16" s="135" t="str">
        <f>IF(J14="","",J14*(1-Operation!$D$17))</f>
        <v/>
      </c>
      <c r="K16" s="135" t="str">
        <f>IF(K14="","",K14*(1-Operation!$D$17))</f>
        <v/>
      </c>
      <c r="L16" s="135" t="str">
        <f>IF(L14="","",L14*(1-Operation!$D$17))</f>
        <v/>
      </c>
      <c r="M16" s="220" t="str">
        <f>IF(M14="","",M14*(1-Operation!$D$17))</f>
        <v/>
      </c>
      <c r="N16" s="6"/>
    </row>
    <row r="17" spans="1:14" ht="15.75" customHeight="1">
      <c r="A17" s="9"/>
      <c r="B17" s="134" t="s">
        <v>51</v>
      </c>
      <c r="C17" s="121">
        <f t="shared" ref="C17:M17" si="7">IF(C7="","",C16/C7)</f>
        <v>0.30716303666954292</v>
      </c>
      <c r="D17" s="121">
        <f t="shared" si="7"/>
        <v>0.25213976857356601</v>
      </c>
      <c r="E17" s="121">
        <f t="shared" si="7"/>
        <v>0.15998848213771524</v>
      </c>
      <c r="F17" s="121">
        <f t="shared" si="7"/>
        <v>0.1157692465702423</v>
      </c>
      <c r="G17" s="121" t="str">
        <f t="shared" si="7"/>
        <v/>
      </c>
      <c r="H17" s="121" t="str">
        <f t="shared" si="7"/>
        <v/>
      </c>
      <c r="I17" s="121" t="str">
        <f t="shared" si="7"/>
        <v/>
      </c>
      <c r="J17" s="121" t="str">
        <f t="shared" si="7"/>
        <v/>
      </c>
      <c r="K17" s="121" t="str">
        <f t="shared" si="7"/>
        <v/>
      </c>
      <c r="L17" s="121" t="str">
        <f t="shared" si="7"/>
        <v/>
      </c>
      <c r="M17" s="221" t="str">
        <f t="shared" si="7"/>
        <v/>
      </c>
      <c r="N17" s="6"/>
    </row>
    <row r="18" spans="1:14" ht="15.75" customHeight="1">
      <c r="A18" s="9"/>
      <c r="B18" s="43" t="s">
        <v>228</v>
      </c>
      <c r="C18" s="136">
        <v>125582</v>
      </c>
      <c r="D18" s="136">
        <v>110143</v>
      </c>
      <c r="E18" s="136">
        <v>73234</v>
      </c>
      <c r="F18" s="136">
        <v>63460</v>
      </c>
      <c r="G18" s="136"/>
      <c r="H18" s="136"/>
      <c r="I18" s="136"/>
      <c r="J18" s="136"/>
      <c r="K18" s="136"/>
      <c r="L18" s="136"/>
      <c r="M18" s="222"/>
      <c r="N18" s="6"/>
    </row>
    <row r="19" spans="1:14" ht="15.75" customHeight="1">
      <c r="A19" s="9"/>
      <c r="B19" s="43" t="s">
        <v>52</v>
      </c>
      <c r="C19" s="34">
        <v>1817942</v>
      </c>
      <c r="D19" s="34">
        <v>1701721</v>
      </c>
      <c r="E19" s="34">
        <v>707550</v>
      </c>
      <c r="F19" s="34">
        <v>223381</v>
      </c>
      <c r="G19" s="34"/>
      <c r="H19" s="34"/>
      <c r="I19" s="34"/>
      <c r="J19" s="34"/>
      <c r="K19" s="34"/>
      <c r="L19" s="34"/>
      <c r="M19" s="218"/>
      <c r="N19" s="6"/>
    </row>
    <row r="20" spans="1:14" ht="15.75" customHeight="1">
      <c r="A20" s="9"/>
      <c r="B20" s="43" t="s">
        <v>240</v>
      </c>
      <c r="C20" s="14">
        <f>IF(D19="","",IF(ABS(C19+D19)=ABS(C19)+ABS(D19),IF(C19&lt;0,-1,1)*(C19-D19)/D19,"Turn"))</f>
        <v>6.8296154304965384E-2</v>
      </c>
      <c r="D20" s="14">
        <f t="shared" ref="D20:M20" si="8">IF(E19="","",IF(ABS(D19+E19)=ABS(D19)+ABS(E19),IF(D19&lt;0,-1,1)*(D19-E19)/E19,"Turn"))</f>
        <v>1.4050893929757615</v>
      </c>
      <c r="E20" s="14">
        <f t="shared" si="8"/>
        <v>2.1674582887532958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5" t="str">
        <f t="shared" si="8"/>
        <v/>
      </c>
      <c r="N20" s="6"/>
    </row>
    <row r="21" spans="1:14" ht="15.75" customHeight="1">
      <c r="A21" s="9"/>
      <c r="B21" s="43" t="s">
        <v>53</v>
      </c>
      <c r="C21" s="168">
        <v>16594202</v>
      </c>
      <c r="D21" s="34">
        <v>15217865</v>
      </c>
      <c r="E21" s="34">
        <v>15171355</v>
      </c>
      <c r="F21" s="34">
        <v>6873841</v>
      </c>
      <c r="G21" s="34"/>
      <c r="H21" s="34"/>
      <c r="I21" s="34"/>
      <c r="J21" s="34"/>
      <c r="K21" s="34"/>
      <c r="L21" s="34"/>
      <c r="M21" s="218"/>
      <c r="N21" s="6"/>
    </row>
    <row r="22" spans="1:14" ht="15.75" customHeight="1">
      <c r="A22" s="9"/>
      <c r="B22" s="43" t="s">
        <v>54</v>
      </c>
      <c r="C22" s="168">
        <v>7024929</v>
      </c>
      <c r="D22" s="34">
        <v>4453620</v>
      </c>
      <c r="E22" s="34">
        <v>3892710</v>
      </c>
      <c r="F22" s="34">
        <v>3205199</v>
      </c>
      <c r="G22" s="34"/>
      <c r="H22" s="34"/>
      <c r="I22" s="34"/>
      <c r="J22" s="34"/>
      <c r="K22" s="34"/>
      <c r="L22" s="34"/>
      <c r="M22" s="218"/>
      <c r="N22" s="6"/>
    </row>
    <row r="23" spans="1:14" ht="15.5" customHeight="1">
      <c r="A23" s="9"/>
      <c r="B23" s="43" t="s">
        <v>55</v>
      </c>
      <c r="C23" s="168">
        <v>1320067</v>
      </c>
      <c r="D23" s="34">
        <v>1127572</v>
      </c>
      <c r="E23" s="34">
        <v>1355006</v>
      </c>
      <c r="F23" s="34">
        <v>1560424</v>
      </c>
      <c r="G23" s="34"/>
      <c r="H23" s="34"/>
      <c r="I23" s="34"/>
      <c r="J23" s="34"/>
      <c r="K23" s="34"/>
      <c r="L23" s="34"/>
      <c r="M23" s="218"/>
      <c r="N23" s="6"/>
    </row>
    <row r="24" spans="1:14" ht="15.75" customHeight="1">
      <c r="A24" s="9"/>
      <c r="B24" s="133" t="s">
        <v>56</v>
      </c>
      <c r="C24" s="245">
        <v>51849</v>
      </c>
      <c r="D24" s="132">
        <v>100763</v>
      </c>
      <c r="E24" s="132">
        <v>94949</v>
      </c>
      <c r="F24" s="132">
        <v>80651</v>
      </c>
      <c r="G24" s="132"/>
      <c r="H24" s="132"/>
      <c r="I24" s="132"/>
      <c r="J24" s="132"/>
      <c r="K24" s="132"/>
      <c r="L24" s="132"/>
      <c r="M24" s="223"/>
      <c r="N24" s="6"/>
    </row>
    <row r="25" spans="1:14" ht="15.75" customHeight="1">
      <c r="A25" s="9"/>
      <c r="B25" s="43" t="s">
        <v>57</v>
      </c>
      <c r="C25" s="168">
        <v>7374365</v>
      </c>
      <c r="D25" s="34">
        <v>5644795</v>
      </c>
      <c r="E25" s="34">
        <v>5018411</v>
      </c>
      <c r="F25" s="34">
        <v>2385110</v>
      </c>
      <c r="G25" s="34"/>
      <c r="H25" s="34"/>
      <c r="I25" s="34"/>
      <c r="J25" s="34"/>
      <c r="K25" s="34"/>
      <c r="L25" s="34"/>
      <c r="M25" s="218"/>
      <c r="N25" s="6"/>
    </row>
    <row r="26" spans="1:14" ht="15.75" customHeight="1">
      <c r="A26" s="9"/>
      <c r="B26" s="133" t="s">
        <v>58</v>
      </c>
      <c r="C26" s="167">
        <v>57682</v>
      </c>
      <c r="D26" s="132">
        <v>109461</v>
      </c>
      <c r="E26" s="132">
        <v>150321</v>
      </c>
      <c r="F26" s="132">
        <v>167081</v>
      </c>
      <c r="G26" s="132"/>
      <c r="H26" s="132"/>
      <c r="I26" s="132"/>
      <c r="J26" s="132"/>
      <c r="K26" s="132"/>
      <c r="L26" s="132"/>
      <c r="M26" s="223"/>
      <c r="N26" s="6"/>
    </row>
    <row r="27" spans="1:14" ht="15.75" customHeight="1">
      <c r="A27" s="9"/>
      <c r="B27" s="43" t="s">
        <v>59</v>
      </c>
      <c r="C27" s="26">
        <f t="shared" ref="C27:M27" si="9">IF(C7="","",C23+C25)</f>
        <v>8694432</v>
      </c>
      <c r="D27" s="26">
        <f t="shared" si="9"/>
        <v>6772367</v>
      </c>
      <c r="E27" s="26">
        <f t="shared" si="9"/>
        <v>6373417</v>
      </c>
      <c r="F27" s="26">
        <f t="shared" si="9"/>
        <v>3945534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19" t="str">
        <f t="shared" si="9"/>
        <v/>
      </c>
      <c r="N27" s="6"/>
    </row>
    <row r="28" spans="1:14" ht="15.75" customHeight="1">
      <c r="A28" s="9"/>
      <c r="B28" s="43" t="s">
        <v>60</v>
      </c>
      <c r="C28" s="168">
        <v>28961421</v>
      </c>
      <c r="D28" s="34">
        <v>25438143</v>
      </c>
      <c r="E28" s="34">
        <v>21681738</v>
      </c>
      <c r="F28" s="34">
        <v>10197862</v>
      </c>
      <c r="G28" s="34"/>
      <c r="H28" s="34"/>
      <c r="I28" s="34"/>
      <c r="J28" s="34"/>
      <c r="K28" s="34"/>
      <c r="L28" s="34"/>
      <c r="M28" s="218"/>
      <c r="N28" s="6"/>
    </row>
    <row r="29" spans="1:14" ht="15.75" customHeight="1">
      <c r="A29" s="9"/>
      <c r="B29" s="133" t="s">
        <v>196</v>
      </c>
      <c r="C29" s="167">
        <v>19149976</v>
      </c>
      <c r="D29" s="132">
        <v>17149664</v>
      </c>
      <c r="E29" s="132">
        <v>15174594</v>
      </c>
      <c r="F29" s="132">
        <v>6233245</v>
      </c>
      <c r="G29" s="132"/>
      <c r="H29" s="132"/>
      <c r="I29" s="132"/>
      <c r="J29" s="132"/>
      <c r="K29" s="132"/>
      <c r="L29" s="132"/>
      <c r="M29" s="223"/>
      <c r="N29" s="6"/>
    </row>
    <row r="30" spans="1:14" ht="15.75" customHeight="1">
      <c r="A30" s="9"/>
      <c r="B30" s="43" t="s">
        <v>61</v>
      </c>
      <c r="C30" s="168">
        <v>18960891</v>
      </c>
      <c r="D30" s="34">
        <v>14460790</v>
      </c>
      <c r="E30" s="34">
        <v>12373176</v>
      </c>
      <c r="F30" s="34">
        <v>7995850</v>
      </c>
      <c r="G30" s="34"/>
      <c r="H30" s="34"/>
      <c r="I30" s="34"/>
      <c r="J30" s="34"/>
      <c r="K30" s="34"/>
      <c r="L30" s="34"/>
      <c r="M30" s="218"/>
      <c r="N30" s="6"/>
    </row>
    <row r="31" spans="1:14" ht="15.75" customHeight="1">
      <c r="A31" s="9"/>
      <c r="B31" s="43" t="s">
        <v>209</v>
      </c>
      <c r="C31" s="168">
        <v>6932587</v>
      </c>
      <c r="D31" s="34">
        <v>8581746</v>
      </c>
      <c r="E31" s="34">
        <v>9826537</v>
      </c>
      <c r="F31" s="34">
        <v>2238840</v>
      </c>
      <c r="G31" s="34"/>
      <c r="H31" s="34"/>
      <c r="I31" s="34"/>
      <c r="J31" s="34"/>
      <c r="K31" s="34"/>
      <c r="L31" s="34"/>
      <c r="M31" s="218"/>
      <c r="N31" s="6"/>
    </row>
    <row r="32" spans="1:14" ht="15.75" customHeight="1">
      <c r="A32" s="9"/>
      <c r="B32" s="43" t="s">
        <v>62</v>
      </c>
      <c r="C32" s="14">
        <f t="shared" ref="C32:M32" si="10">IF(D7="","",(C30-D30)/C30)</f>
        <v>0.23733594586878856</v>
      </c>
      <c r="D32" s="14">
        <f t="shared" si="10"/>
        <v>0.14436375882645416</v>
      </c>
      <c r="E32" s="14">
        <f t="shared" si="10"/>
        <v>0.35377545748965344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5" t="str">
        <f t="shared" si="10"/>
        <v/>
      </c>
      <c r="N32" s="6"/>
    </row>
    <row r="33" spans="1:14" ht="15.75" customHeight="1">
      <c r="A33" s="9"/>
      <c r="B33" s="43" t="s">
        <v>63</v>
      </c>
      <c r="C33" s="225">
        <f>IF(D7="","",(C7-D7)*Asset_Model!$D$65)</f>
        <v>372073.96760000003</v>
      </c>
      <c r="D33" s="225">
        <f>IF(E7="","",(D7-E7)*Asset_Model!$D$65)</f>
        <v>312296.65210000001</v>
      </c>
      <c r="E33" s="225">
        <f>IF(F7="","",(E7-F7)*Asset_Model!$D$65)</f>
        <v>160871.89990000002</v>
      </c>
      <c r="F33" s="225" t="str">
        <f>IF(G7="","",(F7-G7)*Asset_Model!$D$65)</f>
        <v/>
      </c>
      <c r="G33" s="225" t="str">
        <f>IF(H7="","",(G7-H7)*Asset_Model!$D$65)</f>
        <v/>
      </c>
      <c r="H33" s="225" t="str">
        <f>IF(I7="","",(H7-I7)*Asset_Model!$D$65)</f>
        <v/>
      </c>
      <c r="I33" s="225" t="str">
        <f>IF(J7="","",(I7-J7)*Asset_Model!$D$65)</f>
        <v/>
      </c>
      <c r="J33" s="225" t="str">
        <f>IF(K7="","",(J7-K7)*Asset_Model!$D$65)</f>
        <v/>
      </c>
      <c r="K33" s="225" t="str">
        <f>IF(L7="","",(K7-L7)*Asset_Model!$D$65)</f>
        <v/>
      </c>
      <c r="L33" s="225" t="str">
        <f>IF(M7="","",(L7-M7)*Asset_Model!$D$65)</f>
        <v/>
      </c>
      <c r="M33" s="226" t="str">
        <f>IF(N7="","",(M7-N7)*Asset_Model!$D$65)</f>
        <v/>
      </c>
      <c r="N33" s="6"/>
    </row>
    <row r="34" spans="1:14" ht="15.75" customHeight="1">
      <c r="A34" s="9"/>
      <c r="B34" s="43" t="s">
        <v>73</v>
      </c>
      <c r="C34" s="135">
        <f t="shared" ref="C34:M34" si="11">IF(D7="","",C30-D30+C33+IF($C$55="Yes",C57,0))</f>
        <v>5605270.9676000001</v>
      </c>
      <c r="D34" s="135">
        <f t="shared" si="11"/>
        <v>3038752.6521000001</v>
      </c>
      <c r="E34" s="135">
        <f t="shared" si="11"/>
        <v>4538197.8998999996</v>
      </c>
      <c r="F34" s="135" t="str">
        <f t="shared" si="11"/>
        <v/>
      </c>
      <c r="G34" s="135" t="str">
        <f t="shared" si="11"/>
        <v/>
      </c>
      <c r="H34" s="135" t="str">
        <f t="shared" si="11"/>
        <v/>
      </c>
      <c r="I34" s="135" t="str">
        <f t="shared" si="11"/>
        <v/>
      </c>
      <c r="J34" s="135" t="str">
        <f t="shared" si="11"/>
        <v/>
      </c>
      <c r="K34" s="135" t="str">
        <f t="shared" si="11"/>
        <v/>
      </c>
      <c r="L34" s="135" t="str">
        <f t="shared" si="11"/>
        <v/>
      </c>
      <c r="M34" s="307" t="str">
        <f t="shared" si="11"/>
        <v/>
      </c>
      <c r="N34" s="6"/>
    </row>
    <row r="35" spans="1:14" ht="15.75" customHeight="1">
      <c r="A35" s="9"/>
      <c r="B35" s="224" t="s">
        <v>314</v>
      </c>
      <c r="C35" s="216">
        <f t="shared" ref="C35:M35" si="12">IF(C34="","",C34/C16)</f>
        <v>2.5089795046202381</v>
      </c>
      <c r="D35" s="216">
        <f t="shared" si="12"/>
        <v>2.2141484249412535</v>
      </c>
      <c r="E35" s="216">
        <f t="shared" si="12"/>
        <v>7.2602918706834894</v>
      </c>
      <c r="F35" s="216" t="str">
        <f t="shared" si="12"/>
        <v/>
      </c>
      <c r="G35" s="216" t="str">
        <f t="shared" si="12"/>
        <v/>
      </c>
      <c r="H35" s="216" t="str">
        <f t="shared" si="12"/>
        <v/>
      </c>
      <c r="I35" s="216" t="str">
        <f t="shared" si="12"/>
        <v/>
      </c>
      <c r="J35" s="216" t="str">
        <f t="shared" si="12"/>
        <v/>
      </c>
      <c r="K35" s="216" t="str">
        <f t="shared" si="12"/>
        <v/>
      </c>
      <c r="L35" s="216" t="str">
        <f t="shared" si="12"/>
        <v/>
      </c>
      <c r="M35" s="217" t="str">
        <f t="shared" si="12"/>
        <v/>
      </c>
      <c r="N35" s="6"/>
    </row>
    <row r="36" spans="1:14" ht="15.75" customHeight="1">
      <c r="A36" s="9"/>
      <c r="B36" s="46" t="s">
        <v>64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0" t="s">
        <v>229</v>
      </c>
      <c r="C37" s="157">
        <v>0</v>
      </c>
      <c r="D37" s="157">
        <v>0</v>
      </c>
      <c r="E37" s="157">
        <v>0</v>
      </c>
      <c r="F37" s="157">
        <v>0</v>
      </c>
      <c r="G37" s="157">
        <v>774364</v>
      </c>
      <c r="H37" s="157"/>
      <c r="I37" s="157"/>
      <c r="J37" s="157"/>
      <c r="K37" s="157"/>
      <c r="L37" s="157"/>
      <c r="M37" s="158"/>
      <c r="N37" s="6"/>
    </row>
    <row r="38" spans="1:14" ht="15.75" customHeight="1">
      <c r="A38" s="9"/>
      <c r="B38" s="134" t="s">
        <v>65</v>
      </c>
      <c r="C38" s="156">
        <v>38314</v>
      </c>
      <c r="D38" s="156">
        <v>0</v>
      </c>
      <c r="E38" s="156">
        <v>0</v>
      </c>
      <c r="F38" s="156">
        <v>0</v>
      </c>
      <c r="G38" s="156">
        <v>0</v>
      </c>
      <c r="H38" s="156"/>
      <c r="I38" s="156"/>
      <c r="J38" s="156"/>
      <c r="K38" s="156"/>
      <c r="L38" s="156"/>
      <c r="M38" s="159"/>
      <c r="N38" s="6"/>
    </row>
    <row r="39" spans="1:14" ht="15.75" customHeight="1">
      <c r="A39" s="9"/>
      <c r="B39" s="134" t="s">
        <v>192</v>
      </c>
      <c r="C39" s="162">
        <f t="shared" ref="C39:M39" si="13">IF(C37="","",C37*$C$4/Common_Shares)</f>
        <v>0</v>
      </c>
      <c r="D39" s="162">
        <f t="shared" si="13"/>
        <v>0</v>
      </c>
      <c r="E39" s="162">
        <f t="shared" si="13"/>
        <v>0</v>
      </c>
      <c r="F39" s="162">
        <f t="shared" si="13"/>
        <v>0</v>
      </c>
      <c r="G39" s="162">
        <f t="shared" si="13"/>
        <v>0.12974116078486542</v>
      </c>
      <c r="H39" s="162" t="str">
        <f t="shared" si="13"/>
        <v/>
      </c>
      <c r="I39" s="162" t="str">
        <f t="shared" si="13"/>
        <v/>
      </c>
      <c r="J39" s="162" t="str">
        <f t="shared" si="13"/>
        <v/>
      </c>
      <c r="K39" s="162" t="str">
        <f t="shared" si="13"/>
        <v/>
      </c>
      <c r="L39" s="162" t="str">
        <f t="shared" si="13"/>
        <v/>
      </c>
      <c r="M39" s="163" t="str">
        <f t="shared" si="13"/>
        <v/>
      </c>
      <c r="N39" s="6"/>
    </row>
    <row r="40" spans="1:14" ht="15.75" customHeight="1">
      <c r="A40" s="9"/>
      <c r="B40" s="161" t="s">
        <v>193</v>
      </c>
      <c r="C40" s="164">
        <f t="shared" ref="C40:M40" si="14">IF(C38="","",C38*$C$4/Common_Shares)</f>
        <v>6.4193361704719407E-3</v>
      </c>
      <c r="D40" s="164">
        <f t="shared" si="14"/>
        <v>0</v>
      </c>
      <c r="E40" s="164">
        <f t="shared" si="14"/>
        <v>0</v>
      </c>
      <c r="F40" s="164">
        <f t="shared" si="14"/>
        <v>0</v>
      </c>
      <c r="G40" s="164">
        <f t="shared" si="14"/>
        <v>0</v>
      </c>
      <c r="H40" s="164" t="str">
        <f t="shared" si="14"/>
        <v/>
      </c>
      <c r="I40" s="164" t="str">
        <f t="shared" si="14"/>
        <v/>
      </c>
      <c r="J40" s="164" t="str">
        <f t="shared" si="14"/>
        <v/>
      </c>
      <c r="K40" s="164" t="str">
        <f t="shared" si="14"/>
        <v/>
      </c>
      <c r="L40" s="164" t="str">
        <f t="shared" si="14"/>
        <v/>
      </c>
      <c r="M40" s="165" t="str">
        <f t="shared" si="14"/>
        <v/>
      </c>
      <c r="N40" s="6"/>
    </row>
    <row r="41" spans="1:14" ht="15.75" customHeight="1">
      <c r="A41" s="9"/>
      <c r="B41" s="85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67</v>
      </c>
      <c r="C42" s="47">
        <f>IF(C29="","",C25/C28)</f>
        <v>0.25462718144941854</v>
      </c>
      <c r="D42" s="47">
        <f t="shared" ref="D42:M42" si="15">IF(D29="","",D25/D29)</f>
        <v>0.32914901423141585</v>
      </c>
      <c r="E42" s="47">
        <f t="shared" si="15"/>
        <v>0.33071138509537717</v>
      </c>
      <c r="F42" s="47">
        <f t="shared" si="15"/>
        <v>0.38264339040098699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4" t="str">
        <f t="shared" si="15"/>
        <v/>
      </c>
      <c r="N42" s="6"/>
    </row>
    <row r="43" spans="1:14" ht="15.75" customHeight="1">
      <c r="A43" s="9"/>
      <c r="B43" s="43" t="s">
        <v>224</v>
      </c>
      <c r="C43" s="14">
        <f t="shared" ref="C43:M43" si="16">IF(C29="","",C27/C29)</f>
        <v>0.45401790581878537</v>
      </c>
      <c r="D43" s="14">
        <f t="shared" si="16"/>
        <v>0.39489794085761681</v>
      </c>
      <c r="E43" s="14">
        <f t="shared" si="16"/>
        <v>0.42000576753486785</v>
      </c>
      <c r="F43" s="14">
        <f t="shared" si="16"/>
        <v>0.63298233905453738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5" t="str">
        <f t="shared" si="16"/>
        <v/>
      </c>
      <c r="N43" s="6"/>
    </row>
    <row r="44" spans="1:14" ht="15.75" customHeight="1">
      <c r="A44" s="9"/>
      <c r="B44" s="43" t="s">
        <v>68</v>
      </c>
      <c r="C44" s="49">
        <f t="shared" ref="C44:M44" si="17">IF(C14="","",IF(C27&lt;=0,"-",C14/C27))</f>
        <v>0.25695571602607276</v>
      </c>
      <c r="D44" s="49">
        <f t="shared" si="17"/>
        <v>0.20265071281577032</v>
      </c>
      <c r="E44" s="49">
        <f t="shared" si="17"/>
        <v>9.8074706236858503E-2</v>
      </c>
      <c r="F44" s="49">
        <f t="shared" si="17"/>
        <v>9.1419564500014441E-2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6" t="str">
        <f t="shared" si="17"/>
        <v/>
      </c>
      <c r="N44" s="6"/>
    </row>
    <row r="45" spans="1:14" ht="15.75" customHeight="1">
      <c r="A45" s="9"/>
      <c r="B45" s="43" t="s">
        <v>69</v>
      </c>
      <c r="C45" s="14">
        <f t="shared" ref="C45:M45" si="18">IF(C16="","",IF(C18&lt;=0,"-",C18/C16))</f>
        <v>5.6211852374395951E-2</v>
      </c>
      <c r="D45" s="14">
        <f t="shared" si="18"/>
        <v>8.0254294405887383E-2</v>
      </c>
      <c r="E45" s="14">
        <f t="shared" si="18"/>
        <v>0.11716109050011919</v>
      </c>
      <c r="F45" s="14">
        <f t="shared" si="18"/>
        <v>0.1759361683841652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5" t="str">
        <f t="shared" si="18"/>
        <v/>
      </c>
      <c r="N45" s="6"/>
    </row>
    <row r="46" spans="1:14" ht="15.75" customHeight="1">
      <c r="A46" s="9"/>
      <c r="B46" s="45" t="s">
        <v>70</v>
      </c>
      <c r="C46" s="50">
        <f t="shared" ref="C46:M46" si="19">IF(C21="","",C21/C22)</f>
        <v>2.3621878598345978</v>
      </c>
      <c r="D46" s="50">
        <f t="shared" si="19"/>
        <v>3.4169653001378655</v>
      </c>
      <c r="E46" s="50">
        <f t="shared" si="19"/>
        <v>3.8973761210056748</v>
      </c>
      <c r="F46" s="50">
        <f t="shared" si="19"/>
        <v>2.1445910222735001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197" t="str">
        <f t="shared" si="19"/>
        <v/>
      </c>
      <c r="N46" s="6"/>
    </row>
    <row r="47" spans="1:14" ht="15.75" customHeight="1">
      <c r="A47" s="9"/>
      <c r="B47" s="351" t="s">
        <v>308</v>
      </c>
      <c r="C47" s="345"/>
      <c r="D47" s="345"/>
      <c r="E47" s="345"/>
      <c r="F47" s="345"/>
      <c r="G47" s="345"/>
      <c r="H47" s="345"/>
      <c r="I47" s="345"/>
      <c r="J47" s="345"/>
      <c r="K47" s="345"/>
      <c r="L47" s="345"/>
      <c r="M47" s="345"/>
      <c r="N47" s="6"/>
    </row>
    <row r="48" spans="1:14" ht="15.75" customHeight="1">
      <c r="A48" s="9"/>
      <c r="B48" s="160" t="s">
        <v>309</v>
      </c>
      <c r="C48" s="348">
        <f>C13</f>
        <v>0.30716303666954292</v>
      </c>
      <c r="D48" s="348">
        <f>D13</f>
        <v>0.25213976857356601</v>
      </c>
      <c r="E48" s="348">
        <f t="shared" ref="E48:M48" si="20">E13</f>
        <v>0.15998848213771524</v>
      </c>
      <c r="F48" s="348">
        <f t="shared" si="20"/>
        <v>0.1157692465702423</v>
      </c>
      <c r="G48" s="348" t="str">
        <f t="shared" si="20"/>
        <v/>
      </c>
      <c r="H48" s="348" t="str">
        <f t="shared" si="20"/>
        <v/>
      </c>
      <c r="I48" s="348" t="str">
        <f t="shared" si="20"/>
        <v/>
      </c>
      <c r="J48" s="348" t="str">
        <f t="shared" si="20"/>
        <v/>
      </c>
      <c r="K48" s="348" t="str">
        <f t="shared" si="20"/>
        <v/>
      </c>
      <c r="L48" s="348" t="str">
        <f t="shared" si="20"/>
        <v/>
      </c>
      <c r="M48" s="348" t="str">
        <f t="shared" si="20"/>
        <v/>
      </c>
      <c r="N48" s="6"/>
    </row>
    <row r="49" spans="1:14" ht="15.75" customHeight="1">
      <c r="A49" s="9"/>
      <c r="B49" s="134" t="s">
        <v>310</v>
      </c>
      <c r="C49" s="346">
        <f>C7/(C29+C21+C22)</f>
        <v>0.17005929069316317</v>
      </c>
      <c r="D49" s="346">
        <f>IF(D7="","",D7/(D29+D21+D22))</f>
        <v>0.14782569658540531</v>
      </c>
      <c r="E49" s="346">
        <f t="shared" ref="E49:M49" si="21">IF(E7="","",E7/(E29+E21+E22))</f>
        <v>0.11411004735903939</v>
      </c>
      <c r="F49" s="346">
        <f t="shared" si="21"/>
        <v>0.19100156722372127</v>
      </c>
      <c r="G49" s="346" t="str">
        <f t="shared" si="21"/>
        <v/>
      </c>
      <c r="H49" s="346" t="str">
        <f t="shared" si="21"/>
        <v/>
      </c>
      <c r="I49" s="346" t="str">
        <f t="shared" si="21"/>
        <v/>
      </c>
      <c r="J49" s="346" t="str">
        <f t="shared" si="21"/>
        <v/>
      </c>
      <c r="K49" s="346" t="str">
        <f t="shared" si="21"/>
        <v/>
      </c>
      <c r="L49" s="346" t="str">
        <f t="shared" si="21"/>
        <v/>
      </c>
      <c r="M49" s="346" t="str">
        <f t="shared" si="21"/>
        <v/>
      </c>
      <c r="N49" s="6"/>
    </row>
    <row r="50" spans="1:14" ht="15.75" customHeight="1">
      <c r="A50" s="9"/>
      <c r="B50" s="134" t="s">
        <v>311</v>
      </c>
      <c r="C50" s="347">
        <f>(C29+C21+C22)/C29</f>
        <v>2.2333765326912158</v>
      </c>
      <c r="D50" s="347">
        <f>IF(D29="","",(D29+D21+D22)/D29)</f>
        <v>2.1470478372054402</v>
      </c>
      <c r="E50" s="347">
        <f t="shared" ref="E50:M50" si="22">IF(E29="","",(E29+E21+E22)/E29)</f>
        <v>2.2563146664747671</v>
      </c>
      <c r="F50" s="347">
        <f t="shared" si="22"/>
        <v>2.6169812032095643</v>
      </c>
      <c r="G50" s="347" t="str">
        <f t="shared" si="22"/>
        <v/>
      </c>
      <c r="H50" s="347" t="str">
        <f t="shared" si="22"/>
        <v/>
      </c>
      <c r="I50" s="347" t="str">
        <f t="shared" si="22"/>
        <v/>
      </c>
      <c r="J50" s="347" t="str">
        <f t="shared" si="22"/>
        <v/>
      </c>
      <c r="K50" s="347" t="str">
        <f t="shared" si="22"/>
        <v/>
      </c>
      <c r="L50" s="347" t="str">
        <f t="shared" si="22"/>
        <v/>
      </c>
      <c r="M50" s="347" t="str">
        <f t="shared" si="22"/>
        <v/>
      </c>
      <c r="N50" s="6"/>
    </row>
    <row r="51" spans="1:14" ht="15.75" customHeight="1">
      <c r="A51" s="9"/>
      <c r="B51" s="134" t="s">
        <v>312</v>
      </c>
      <c r="C51" s="350">
        <f>C48*C49*C50</f>
        <v>0.11666249607832405</v>
      </c>
      <c r="D51" s="350">
        <f>IF(D48="","",D48*D49*D50)</f>
        <v>8.0026349204275954E-2</v>
      </c>
      <c r="E51" s="350">
        <f t="shared" ref="E51:M51" si="23">IF(E48="","",E48*E49*E50)</f>
        <v>4.1191942268768447E-2</v>
      </c>
      <c r="F51" s="350">
        <f t="shared" si="23"/>
        <v>5.7866969772566293E-2</v>
      </c>
      <c r="G51" s="350" t="str">
        <f t="shared" si="23"/>
        <v/>
      </c>
      <c r="H51" s="350" t="str">
        <f t="shared" si="23"/>
        <v/>
      </c>
      <c r="I51" s="350" t="str">
        <f t="shared" si="23"/>
        <v/>
      </c>
      <c r="J51" s="350" t="str">
        <f t="shared" si="23"/>
        <v/>
      </c>
      <c r="K51" s="350" t="str">
        <f t="shared" si="23"/>
        <v/>
      </c>
      <c r="L51" s="350" t="str">
        <f t="shared" si="23"/>
        <v/>
      </c>
      <c r="M51" s="350" t="str">
        <f t="shared" si="23"/>
        <v/>
      </c>
      <c r="N51" s="6"/>
    </row>
    <row r="52" spans="1:14" ht="15.75" customHeight="1">
      <c r="A52" s="9"/>
      <c r="B52" s="352" t="s">
        <v>313</v>
      </c>
      <c r="C52" s="349">
        <f>C35*C51</f>
        <v>0.29270381161835396</v>
      </c>
      <c r="D52" s="349">
        <f>IF(D35="","",D35*D51)</f>
        <v>0.17719021504444635</v>
      </c>
      <c r="E52" s="349">
        <f t="shared" ref="E52:M52" si="24">IF(E35="","",E35*E51)</f>
        <v>0.29906552359160316</v>
      </c>
      <c r="F52" s="349" t="str">
        <f t="shared" si="24"/>
        <v/>
      </c>
      <c r="G52" s="349" t="str">
        <f t="shared" si="24"/>
        <v/>
      </c>
      <c r="H52" s="349" t="str">
        <f t="shared" si="24"/>
        <v/>
      </c>
      <c r="I52" s="349" t="str">
        <f t="shared" si="24"/>
        <v/>
      </c>
      <c r="J52" s="349" t="str">
        <f t="shared" si="24"/>
        <v/>
      </c>
      <c r="K52" s="349" t="str">
        <f t="shared" si="24"/>
        <v/>
      </c>
      <c r="L52" s="349" t="str">
        <f t="shared" si="24"/>
        <v/>
      </c>
      <c r="M52" s="349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71</v>
      </c>
      <c r="C54" s="51"/>
      <c r="D54" s="51"/>
      <c r="E54" s="51"/>
      <c r="F54" s="51"/>
    </row>
    <row r="55" spans="1:14" ht="15" customHeight="1">
      <c r="A55" s="9"/>
      <c r="B55" s="5" t="s">
        <v>72</v>
      </c>
      <c r="C55" s="306" t="s">
        <v>351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3"/>
      <c r="D56" s="6"/>
      <c r="E56" s="303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4" t="s">
        <v>261</v>
      </c>
      <c r="C57" s="157">
        <v>733096</v>
      </c>
      <c r="D57" s="157">
        <v>638842</v>
      </c>
      <c r="E57" s="157"/>
      <c r="F57" s="157"/>
      <c r="G57" s="157"/>
      <c r="H57" s="157"/>
      <c r="I57" s="157"/>
      <c r="J57" s="157"/>
      <c r="K57" s="157"/>
      <c r="L57" s="157"/>
      <c r="M57" s="158"/>
    </row>
    <row r="58" spans="1:14" ht="15.75" customHeight="1">
      <c r="A58" s="9"/>
      <c r="B58" s="305" t="s">
        <v>262</v>
      </c>
      <c r="C58" s="309">
        <f t="shared" ref="C58:M58" si="25">IF(C57="","",C57/C7)</f>
        <v>0.10079298429705207</v>
      </c>
      <c r="D58" s="309">
        <f t="shared" si="25"/>
        <v>0.11736705031974355</v>
      </c>
      <c r="E58" s="309" t="str">
        <f t="shared" si="25"/>
        <v/>
      </c>
      <c r="F58" s="309" t="str">
        <f t="shared" si="25"/>
        <v/>
      </c>
      <c r="G58" s="309" t="str">
        <f t="shared" si="25"/>
        <v/>
      </c>
      <c r="H58" s="309" t="str">
        <f t="shared" si="25"/>
        <v/>
      </c>
      <c r="I58" s="309" t="str">
        <f t="shared" si="25"/>
        <v/>
      </c>
      <c r="J58" s="309" t="str">
        <f t="shared" si="25"/>
        <v/>
      </c>
      <c r="K58" s="309" t="str">
        <f t="shared" si="25"/>
        <v/>
      </c>
      <c r="L58" s="309" t="str">
        <f t="shared" si="25"/>
        <v/>
      </c>
      <c r="M58" s="310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25" zoomScaleNormal="100" workbookViewId="0">
      <selection activeCell="I53" sqref="I5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0" t="s">
        <v>75</v>
      </c>
      <c r="C2" s="240"/>
      <c r="D2" s="11"/>
      <c r="E2" s="12"/>
      <c r="F2" s="12"/>
      <c r="G2" s="12"/>
      <c r="H2" s="12"/>
      <c r="I2" s="12"/>
      <c r="K2" s="308" t="s">
        <v>128</v>
      </c>
    </row>
    <row r="3" spans="1:11" ht="15" customHeight="1">
      <c r="B3" s="5" t="s">
        <v>230</v>
      </c>
      <c r="C3" s="6"/>
      <c r="D3" s="246">
        <v>29584682</v>
      </c>
      <c r="E3" s="148" t="str">
        <f>IF((C46-I46)=D3,"", "Error!")</f>
        <v/>
      </c>
      <c r="F3" s="6"/>
      <c r="G3" s="6"/>
      <c r="H3" s="247" t="s">
        <v>231</v>
      </c>
      <c r="I3" s="248">
        <v>19403938</v>
      </c>
      <c r="K3" s="72"/>
    </row>
    <row r="4" spans="1:11" ht="15" customHeight="1">
      <c r="B4" s="5" t="s">
        <v>206</v>
      </c>
      <c r="C4" s="6"/>
      <c r="D4" s="249">
        <f>D3-I3</f>
        <v>10180744</v>
      </c>
      <c r="E4" s="142"/>
      <c r="F4" s="6"/>
      <c r="G4" s="6"/>
      <c r="H4" s="59" t="s">
        <v>76</v>
      </c>
      <c r="I4" s="86">
        <f>(I3*Dashboard!I12*Data!C4)/Dashboard!I5</f>
        <v>25.395206979862063</v>
      </c>
      <c r="K4" s="72"/>
    </row>
    <row r="5" spans="1:11" ht="15" customHeight="1">
      <c r="D5" s="6"/>
      <c r="E5" s="23" t="s">
        <v>77</v>
      </c>
      <c r="I5" s="6"/>
      <c r="K5" s="72"/>
    </row>
    <row r="6" spans="1:11" ht="15" customHeight="1">
      <c r="B6" s="57" t="s">
        <v>336</v>
      </c>
      <c r="C6" s="6"/>
      <c r="D6" s="58">
        <f>E46-I46-E50</f>
        <v>-315329.39999999851</v>
      </c>
      <c r="E6" s="14">
        <f>1-D6/D3</f>
        <v>1.0106585360626827</v>
      </c>
      <c r="F6" s="6"/>
      <c r="G6" s="6"/>
      <c r="H6" s="3" t="s">
        <v>272</v>
      </c>
      <c r="I6" s="68">
        <f>C26/I26</f>
        <v>2.2891275516921366</v>
      </c>
      <c r="J6" s="6"/>
      <c r="K6" s="72"/>
    </row>
    <row r="7" spans="1:11" ht="15" customHeight="1" thickBot="1">
      <c r="B7" s="52" t="s">
        <v>337</v>
      </c>
      <c r="D7" s="60">
        <f>MAX((D6*Exchange_Rate*Data!C4)/Common_Shares, 0)</f>
        <v>0</v>
      </c>
      <c r="E7" s="48" t="str">
        <f>Dashboard!J4</f>
        <v>HKD</v>
      </c>
      <c r="H7" s="3" t="s">
        <v>273</v>
      </c>
      <c r="I7" s="68">
        <f>C25/I26</f>
        <v>1.9902825365834862</v>
      </c>
      <c r="J7" s="6"/>
      <c r="K7" s="111"/>
    </row>
    <row r="8" spans="1:11" ht="15" customHeight="1">
      <c r="D8" s="6"/>
      <c r="H8" s="3" t="s">
        <v>274</v>
      </c>
      <c r="I8" s="68">
        <f>C24/I26</f>
        <v>1.287363270190627</v>
      </c>
      <c r="K8" s="72"/>
    </row>
    <row r="9" spans="1:11" ht="15" customHeight="1">
      <c r="A9" s="4"/>
      <c r="B9" s="241" t="s">
        <v>226</v>
      </c>
      <c r="C9" s="228"/>
      <c r="D9" s="244">
        <v>44651</v>
      </c>
      <c r="E9" s="259" t="s">
        <v>345</v>
      </c>
      <c r="F9" s="125"/>
      <c r="G9" s="125"/>
      <c r="H9" s="125"/>
      <c r="I9" s="125"/>
      <c r="K9" s="72"/>
    </row>
    <row r="10" spans="1:11" ht="15" customHeight="1">
      <c r="B10" s="5" t="s">
        <v>78</v>
      </c>
      <c r="C10" s="23" t="s">
        <v>79</v>
      </c>
      <c r="D10" s="23" t="s">
        <v>80</v>
      </c>
      <c r="E10" s="23" t="s">
        <v>81</v>
      </c>
      <c r="F10" s="29" t="s">
        <v>215</v>
      </c>
      <c r="G10" s="6"/>
      <c r="H10" s="62" t="s">
        <v>82</v>
      </c>
      <c r="I10" s="23" t="s">
        <v>79</v>
      </c>
      <c r="K10" s="72"/>
    </row>
    <row r="11" spans="1:11" ht="15" customHeight="1">
      <c r="B11" s="5" t="s">
        <v>83</v>
      </c>
      <c r="C11" s="63">
        <v>8703465</v>
      </c>
      <c r="D11" s="64">
        <v>1</v>
      </c>
      <c r="E11" s="26">
        <f t="shared" ref="E11:E21" si="0">C11*D11</f>
        <v>8703465</v>
      </c>
      <c r="F11" s="6"/>
      <c r="G11" s="6"/>
      <c r="H11" s="5" t="s">
        <v>84</v>
      </c>
      <c r="I11" s="63">
        <f>1787053</f>
        <v>1787053</v>
      </c>
      <c r="J11" s="6"/>
      <c r="K11" s="72"/>
    </row>
    <row r="12" spans="1:11" ht="14">
      <c r="B12" s="3" t="s">
        <v>85</v>
      </c>
      <c r="C12" s="63">
        <v>512687</v>
      </c>
      <c r="D12" s="64">
        <v>1</v>
      </c>
      <c r="E12" s="26">
        <f t="shared" si="0"/>
        <v>512687</v>
      </c>
      <c r="F12" s="6"/>
      <c r="G12" s="6"/>
      <c r="H12" s="5" t="s">
        <v>86</v>
      </c>
      <c r="I12" s="63">
        <v>45247</v>
      </c>
      <c r="J12" s="6"/>
      <c r="K12" s="72"/>
    </row>
    <row r="13" spans="1:11" ht="14">
      <c r="B13" s="5" t="s">
        <v>87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88</v>
      </c>
      <c r="I13" s="63">
        <v>0</v>
      </c>
      <c r="J13" s="6"/>
      <c r="K13" s="75"/>
    </row>
    <row r="14" spans="1:11" ht="14">
      <c r="B14" s="5" t="s">
        <v>89</v>
      </c>
      <c r="C14" s="63">
        <v>405426</v>
      </c>
      <c r="D14" s="64">
        <v>0.7</v>
      </c>
      <c r="E14" s="26">
        <f t="shared" si="0"/>
        <v>283798.19999999995</v>
      </c>
      <c r="F14" s="6"/>
      <c r="G14" s="6"/>
      <c r="H14" s="3" t="s">
        <v>90</v>
      </c>
      <c r="I14" s="63">
        <v>45217</v>
      </c>
      <c r="J14" s="6"/>
      <c r="K14" s="77"/>
    </row>
    <row r="15" spans="1:11" ht="14">
      <c r="B15" s="5" t="s">
        <v>91</v>
      </c>
      <c r="C15" s="63">
        <f>22030+4087495</f>
        <v>4109525</v>
      </c>
      <c r="D15" s="64">
        <v>0.5</v>
      </c>
      <c r="E15" s="26">
        <f t="shared" si="0"/>
        <v>2054762.5</v>
      </c>
      <c r="G15" s="6"/>
      <c r="H15" s="5" t="s">
        <v>92</v>
      </c>
      <c r="I15" s="147">
        <f>I26-SUM(I11:I14)</f>
        <v>5596347</v>
      </c>
      <c r="J15" s="6"/>
    </row>
    <row r="16" spans="1:11" ht="14">
      <c r="B16" s="3" t="s">
        <v>90</v>
      </c>
      <c r="C16" s="63">
        <v>29020</v>
      </c>
      <c r="D16" s="64">
        <v>0.5</v>
      </c>
      <c r="E16" s="26">
        <f t="shared" si="0"/>
        <v>14510</v>
      </c>
      <c r="F16" s="193" t="s">
        <v>216</v>
      </c>
      <c r="G16" s="89">
        <f>IF(F16="Y",0,1)</f>
        <v>0</v>
      </c>
      <c r="H16" s="5"/>
      <c r="I16" s="146"/>
      <c r="J16" s="6"/>
    </row>
    <row r="17" spans="2:10" ht="14">
      <c r="B17" s="5" t="s">
        <v>93</v>
      </c>
      <c r="C17" s="63">
        <f>1114978</f>
        <v>1114978</v>
      </c>
      <c r="D17" s="64">
        <v>0.6</v>
      </c>
      <c r="E17" s="26">
        <f t="shared" si="0"/>
        <v>668986.79999999993</v>
      </c>
      <c r="F17" s="6"/>
      <c r="G17" s="6"/>
      <c r="H17" s="5"/>
      <c r="I17" s="146"/>
      <c r="J17" s="6"/>
    </row>
    <row r="18" spans="2:10" ht="14">
      <c r="B18" s="5" t="s">
        <v>94</v>
      </c>
      <c r="C18" s="63">
        <v>2115572</v>
      </c>
      <c r="D18" s="64">
        <v>0.5</v>
      </c>
      <c r="E18" s="26">
        <f t="shared" si="0"/>
        <v>1057786</v>
      </c>
      <c r="G18" s="6"/>
    </row>
    <row r="19" spans="2:10" ht="14">
      <c r="B19" s="3" t="s">
        <v>95</v>
      </c>
      <c r="C19" s="63">
        <v>0</v>
      </c>
      <c r="D19" s="64">
        <v>0.75</v>
      </c>
      <c r="E19" s="26">
        <f t="shared" si="0"/>
        <v>0</v>
      </c>
      <c r="F19" s="193" t="s">
        <v>216</v>
      </c>
      <c r="G19" s="89">
        <f>IF(F19="Y",0,1)</f>
        <v>0</v>
      </c>
      <c r="H19" s="5"/>
      <c r="I19" s="146"/>
    </row>
    <row r="20" spans="2:10" ht="14">
      <c r="B20" s="5" t="s">
        <v>96</v>
      </c>
      <c r="C20" s="63">
        <v>0</v>
      </c>
      <c r="D20" s="64">
        <v>0.6</v>
      </c>
      <c r="E20" s="26">
        <f t="shared" si="0"/>
        <v>0</v>
      </c>
      <c r="F20" s="193" t="s">
        <v>216</v>
      </c>
      <c r="G20" s="89">
        <f>IF(F20="Y",0,1)</f>
        <v>0</v>
      </c>
      <c r="H20" s="5"/>
      <c r="I20" s="146"/>
    </row>
    <row r="21" spans="2:10" ht="14">
      <c r="B21" s="5" t="s">
        <v>97</v>
      </c>
      <c r="C21" s="63">
        <v>0</v>
      </c>
      <c r="D21" s="64">
        <v>0.95</v>
      </c>
      <c r="E21" s="26">
        <f t="shared" si="0"/>
        <v>0</v>
      </c>
      <c r="F21" s="6"/>
      <c r="G21" s="6"/>
      <c r="H21" s="5"/>
      <c r="I21" s="146"/>
    </row>
    <row r="22" spans="2:10" ht="15" customHeight="1">
      <c r="B22" s="5" t="s">
        <v>98</v>
      </c>
      <c r="C22" s="63">
        <v>117955</v>
      </c>
      <c r="D22" s="64">
        <v>0.2</v>
      </c>
      <c r="E22" s="26">
        <f t="shared" ref="E22" si="1">C22*D22</f>
        <v>23591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99</v>
      </c>
      <c r="C24" s="69">
        <f>SUM(C11:C14)</f>
        <v>9621578</v>
      </c>
      <c r="D24" s="67">
        <f>IF(E24=0,0,E24/C24)</f>
        <v>0.98735885111569011</v>
      </c>
      <c r="E24" s="26">
        <f>SUM(E11:E14)</f>
        <v>9499950.1999999993</v>
      </c>
      <c r="F24" s="6"/>
      <c r="G24" s="6"/>
      <c r="H24" s="65" t="s">
        <v>275</v>
      </c>
      <c r="I24" s="68">
        <f>E24/($I$26-I15)</f>
        <v>5.0598477670242126</v>
      </c>
      <c r="J24" s="13" t="str">
        <f>IF(I24&lt;1,"Liquidity Problem!","")</f>
        <v/>
      </c>
    </row>
    <row r="25" spans="2:10" ht="15" customHeight="1">
      <c r="B25" s="65" t="s">
        <v>100</v>
      </c>
      <c r="C25" s="69">
        <f>C24+SUM(C15:C17)</f>
        <v>14875101</v>
      </c>
      <c r="D25" s="67">
        <f>IF(E25=0,0,E25/C25)</f>
        <v>0.82273118683362212</v>
      </c>
      <c r="E25" s="26">
        <f>E24+SUM(E15:E17)</f>
        <v>12238209.5</v>
      </c>
      <c r="F25" s="6"/>
      <c r="G25" s="6"/>
      <c r="H25" s="65" t="s">
        <v>279</v>
      </c>
      <c r="I25" s="68">
        <f>E25/$I$26</f>
        <v>1.6374675134575636</v>
      </c>
      <c r="J25" s="13" t="str">
        <f>IF(OR(I25&lt;0.75,C26&lt;I26),"Liquidity Problem!","")</f>
        <v/>
      </c>
    </row>
    <row r="26" spans="2:10" ht="15" customHeight="1">
      <c r="B26" s="5" t="s">
        <v>101</v>
      </c>
      <c r="C26" s="69">
        <f>SUM(C11:C22)</f>
        <v>17108628</v>
      </c>
      <c r="D26" s="14">
        <f t="shared" ref="D26" si="2">E26/C26</f>
        <v>0.77853037075795906</v>
      </c>
      <c r="E26" s="26">
        <f>SUM(E11:E22)</f>
        <v>13319586.5</v>
      </c>
      <c r="H26" s="5" t="s">
        <v>54</v>
      </c>
      <c r="I26" s="63">
        <v>7473864</v>
      </c>
      <c r="J26" s="102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215</v>
      </c>
      <c r="G27" s="6"/>
      <c r="I27" s="6"/>
      <c r="J27" s="6"/>
    </row>
    <row r="28" spans="2:10" ht="15" customHeight="1">
      <c r="B28" s="5" t="s">
        <v>102</v>
      </c>
      <c r="C28" s="63">
        <v>0</v>
      </c>
      <c r="D28" s="64">
        <v>0.95</v>
      </c>
      <c r="E28" s="26">
        <v>0</v>
      </c>
      <c r="F28" s="6"/>
      <c r="G28" s="6"/>
      <c r="H28" s="5" t="s">
        <v>103</v>
      </c>
      <c r="I28" s="63">
        <f>6872271+598561</f>
        <v>7470832</v>
      </c>
      <c r="J28" s="6"/>
    </row>
    <row r="29" spans="2:10" ht="15" customHeight="1">
      <c r="B29" s="5" t="s">
        <v>104</v>
      </c>
      <c r="C29" s="63">
        <v>233606</v>
      </c>
      <c r="D29" s="64">
        <v>0.7</v>
      </c>
      <c r="E29" s="26">
        <f t="shared" ref="E29:E40" si="3">C29*D29</f>
        <v>163524.19999999998</v>
      </c>
      <c r="F29" s="6"/>
      <c r="G29" s="6"/>
      <c r="H29" s="5" t="s">
        <v>105</v>
      </c>
      <c r="I29" s="63">
        <v>49677</v>
      </c>
      <c r="J29" s="6"/>
    </row>
    <row r="30" spans="2:10" ht="15" customHeight="1">
      <c r="B30" s="5" t="s">
        <v>106</v>
      </c>
      <c r="C30" s="63">
        <v>5545134</v>
      </c>
      <c r="D30" s="64">
        <v>0.5</v>
      </c>
      <c r="E30" s="26">
        <f t="shared" si="3"/>
        <v>2772567</v>
      </c>
      <c r="F30" s="6"/>
      <c r="G30" s="6"/>
      <c r="H30" s="5" t="s">
        <v>108</v>
      </c>
      <c r="I30" s="63">
        <v>0</v>
      </c>
      <c r="J30" s="6"/>
    </row>
    <row r="31" spans="2:10" ht="14">
      <c r="B31" s="3" t="s">
        <v>107</v>
      </c>
      <c r="C31" s="63">
        <v>30450</v>
      </c>
      <c r="D31" s="64">
        <v>0.5</v>
      </c>
      <c r="E31" s="26">
        <f t="shared" si="3"/>
        <v>15225</v>
      </c>
      <c r="F31" s="193" t="s">
        <v>216</v>
      </c>
      <c r="G31" s="89">
        <f>IF(F31="Y",0,1)</f>
        <v>0</v>
      </c>
      <c r="H31" s="3" t="s">
        <v>107</v>
      </c>
      <c r="I31" s="63">
        <v>0</v>
      </c>
      <c r="J31" s="6"/>
    </row>
    <row r="32" spans="2:10" ht="14">
      <c r="B32" s="5" t="s">
        <v>109</v>
      </c>
      <c r="C32" s="63">
        <v>0</v>
      </c>
      <c r="D32" s="64">
        <v>0.4</v>
      </c>
      <c r="E32" s="26">
        <f t="shared" si="3"/>
        <v>0</v>
      </c>
      <c r="G32" s="6"/>
      <c r="H32" s="5" t="s">
        <v>110</v>
      </c>
      <c r="I32" s="147">
        <f>I42-SUM(I28:I31)</f>
        <v>436675</v>
      </c>
      <c r="J32" s="6"/>
    </row>
    <row r="33" spans="2:10" ht="14">
      <c r="B33" s="5" t="s">
        <v>111</v>
      </c>
      <c r="C33" s="63">
        <f>1983834+4828</f>
        <v>1988662</v>
      </c>
      <c r="D33" s="64">
        <v>0.5</v>
      </c>
      <c r="E33" s="205">
        <f t="shared" si="3"/>
        <v>994331</v>
      </c>
      <c r="F33" s="193" t="s">
        <v>217</v>
      </c>
      <c r="G33" s="89">
        <f>IF(F33="Y",0,1)</f>
        <v>1</v>
      </c>
      <c r="J33" s="6"/>
    </row>
    <row r="34" spans="2:10" ht="14">
      <c r="B34" s="5" t="s">
        <v>112</v>
      </c>
      <c r="C34" s="63">
        <v>0</v>
      </c>
      <c r="D34" s="64">
        <v>0.7</v>
      </c>
      <c r="E34" s="205">
        <f t="shared" si="3"/>
        <v>0</v>
      </c>
      <c r="F34" s="193" t="s">
        <v>216</v>
      </c>
      <c r="G34" s="89">
        <f>IF(F34="Y",0,1)</f>
        <v>0</v>
      </c>
    </row>
    <row r="35" spans="2:10" ht="14">
      <c r="B35" s="3" t="s">
        <v>96</v>
      </c>
      <c r="C35" s="63">
        <v>0</v>
      </c>
      <c r="D35" s="64">
        <v>0.4</v>
      </c>
      <c r="E35" s="26">
        <f t="shared" si="3"/>
        <v>0</v>
      </c>
      <c r="F35" s="193" t="s">
        <v>216</v>
      </c>
      <c r="G35" s="89">
        <f>IF(F35="Y",0,1)</f>
        <v>0</v>
      </c>
    </row>
    <row r="36" spans="2:10" ht="15" customHeight="1">
      <c r="B36" s="5" t="s">
        <v>265</v>
      </c>
      <c r="C36" s="63">
        <f>19499744+513478</f>
        <v>20013222</v>
      </c>
      <c r="D36" s="64">
        <v>0.4</v>
      </c>
      <c r="E36" s="26">
        <f t="shared" si="3"/>
        <v>8005288.8000000007</v>
      </c>
      <c r="F36" s="6"/>
      <c r="G36" s="6"/>
    </row>
    <row r="37" spans="2:10" ht="14">
      <c r="B37" s="5" t="s">
        <v>266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113</v>
      </c>
      <c r="C38" s="63">
        <v>42368</v>
      </c>
      <c r="D38" s="64">
        <v>0.3</v>
      </c>
      <c r="E38" s="26">
        <f t="shared" si="3"/>
        <v>12710.4</v>
      </c>
      <c r="F38" s="6"/>
      <c r="G38" s="6"/>
    </row>
    <row r="39" spans="2:10" ht="15" customHeight="1">
      <c r="B39" s="5" t="s">
        <v>114</v>
      </c>
      <c r="C39" s="63">
        <v>13926</v>
      </c>
      <c r="D39" s="64">
        <v>0.95</v>
      </c>
      <c r="E39" s="26">
        <f t="shared" si="3"/>
        <v>13229.699999999999</v>
      </c>
      <c r="F39" s="6"/>
      <c r="G39" s="6"/>
    </row>
    <row r="40" spans="2:10" ht="15" customHeight="1">
      <c r="B40" s="5" t="s">
        <v>115</v>
      </c>
      <c r="C40" s="63">
        <v>39734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116</v>
      </c>
      <c r="C42" s="66">
        <f>SUM(C28:C40)</f>
        <v>27907102</v>
      </c>
      <c r="D42" s="14">
        <f>E42/C42</f>
        <v>0.42916946732770744</v>
      </c>
      <c r="E42" s="26">
        <f>SUM(E28:E40)</f>
        <v>11976876.1</v>
      </c>
      <c r="F42" s="6"/>
      <c r="G42" s="6"/>
      <c r="H42" s="5" t="s">
        <v>117</v>
      </c>
      <c r="I42" s="63">
        <v>7957184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118</v>
      </c>
      <c r="C44" s="69">
        <f>C24+SUM(C28:C29)</f>
        <v>9855184</v>
      </c>
      <c r="D44" s="67">
        <f>IF(E44=0,0,E44/C44)</f>
        <v>0.9805473342760519</v>
      </c>
      <c r="E44" s="26">
        <f>E24+SUM(E28:E29)</f>
        <v>9663474.3999999985</v>
      </c>
      <c r="F44" s="6"/>
      <c r="G44" s="6"/>
      <c r="H44" s="65" t="s">
        <v>276</v>
      </c>
      <c r="I44" s="68">
        <f>E44/(I46-I15-I32)</f>
        <v>1.0282451229651843</v>
      </c>
      <c r="J44" s="13" t="str">
        <f>IF(I44&lt;1,"Liquidity Problem!","")</f>
        <v/>
      </c>
    </row>
    <row r="45" spans="2:10" ht="15" customHeight="1">
      <c r="B45" s="65" t="s">
        <v>119</v>
      </c>
      <c r="C45" s="69">
        <f>C44+(C25-C24)+SUM(C30:C33)</f>
        <v>22672953</v>
      </c>
      <c r="D45" s="67">
        <f>IF(E45=0,0,E45/C45)</f>
        <v>0.71379571509719086</v>
      </c>
      <c r="E45" s="26">
        <f>E44+(E25-E24)+SUM(E30:E33)</f>
        <v>16183856.699999999</v>
      </c>
      <c r="F45" s="6"/>
      <c r="G45" s="6"/>
      <c r="H45" s="65" t="s">
        <v>280</v>
      </c>
      <c r="I45" s="68">
        <f>E45/$I$46</f>
        <v>1.0487853255333013</v>
      </c>
      <c r="J45" s="13" t="str">
        <f>IF(OR(I45&lt;0.5,C46&lt;I46),"Liquidity Problem!","")</f>
        <v/>
      </c>
    </row>
    <row r="46" spans="2:10" ht="15" customHeight="1">
      <c r="B46" s="5" t="s">
        <v>120</v>
      </c>
      <c r="C46" s="69">
        <f>C26+C42</f>
        <v>45015730</v>
      </c>
      <c r="D46" s="14">
        <f>E46/C46</f>
        <v>0.56194718157408541</v>
      </c>
      <c r="E46" s="26">
        <f>E26+E42</f>
        <v>25296462.600000001</v>
      </c>
      <c r="F46" s="6"/>
      <c r="G46" s="6"/>
      <c r="H46" s="5" t="s">
        <v>277</v>
      </c>
      <c r="I46" s="147">
        <f>I26+I42</f>
        <v>15431048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121</v>
      </c>
      <c r="C48" s="21"/>
      <c r="D48" s="51"/>
    </row>
    <row r="49" spans="2:9" ht="14">
      <c r="B49" s="201" t="s">
        <v>195</v>
      </c>
      <c r="C49" s="6"/>
      <c r="D49" s="202" t="str">
        <f>IF(E50=D4,"BV of the MI","P/B Approach")</f>
        <v>BV of the MI</v>
      </c>
      <c r="E49" s="6"/>
    </row>
    <row r="50" spans="2:9" ht="14">
      <c r="B50" s="5" t="s">
        <v>194</v>
      </c>
      <c r="C50" s="203">
        <f>D4</f>
        <v>10180744</v>
      </c>
      <c r="D50" s="199">
        <f>IF(E50=0, 0,E50/C50)</f>
        <v>1</v>
      </c>
      <c r="E50" s="203">
        <f>MAX(C50,C50*Dashboard!I10)</f>
        <v>10180744</v>
      </c>
      <c r="I50" s="149"/>
    </row>
    <row r="51" spans="2:9" ht="15" customHeight="1">
      <c r="C51" s="6"/>
      <c r="D51" s="6"/>
      <c r="E51" s="6"/>
    </row>
    <row r="52" spans="2:9" ht="14.5" thickBot="1">
      <c r="B52" s="73" t="s">
        <v>236</v>
      </c>
      <c r="C52" s="5"/>
      <c r="D52" s="477">
        <f>D53+D54+D55</f>
        <v>9352809</v>
      </c>
      <c r="E52" s="478"/>
      <c r="F52" s="52"/>
      <c r="G52" s="52"/>
    </row>
    <row r="53" spans="2:9" ht="14.5" thickTop="1">
      <c r="B53" s="57" t="s">
        <v>210</v>
      </c>
      <c r="C53" s="6"/>
      <c r="D53" s="480">
        <f>SUM(I11:I13)+SUM(I28:I30)</f>
        <v>9352809</v>
      </c>
      <c r="E53" s="399"/>
      <c r="F53" s="5"/>
      <c r="G53" s="5"/>
      <c r="H53" s="3" t="s">
        <v>278</v>
      </c>
      <c r="I53" s="14">
        <f>D53/I3</f>
        <v>0.48200571451011648</v>
      </c>
    </row>
    <row r="54" spans="2:9" ht="14">
      <c r="B54" s="57" t="s">
        <v>123</v>
      </c>
      <c r="C54" s="6"/>
      <c r="D54" s="487">
        <v>0</v>
      </c>
      <c r="E54" s="394"/>
      <c r="F54" s="6" t="s">
        <v>124</v>
      </c>
      <c r="G54" s="6"/>
    </row>
    <row r="55" spans="2:9" ht="12.75" customHeight="1">
      <c r="B55" s="57" t="s">
        <v>122</v>
      </c>
      <c r="C55" s="6"/>
      <c r="D55" s="487">
        <v>0</v>
      </c>
      <c r="E55" s="394"/>
      <c r="F55" s="5" t="s">
        <v>125</v>
      </c>
      <c r="G55" s="5"/>
    </row>
    <row r="56" spans="2:9" ht="15" customHeight="1">
      <c r="D56" s="6"/>
      <c r="E56" s="6"/>
    </row>
    <row r="57" spans="2:9" ht="14">
      <c r="B57" s="73" t="s">
        <v>126</v>
      </c>
      <c r="C57" s="5"/>
      <c r="D57" s="479"/>
      <c r="E57" s="479"/>
      <c r="F57" s="19"/>
      <c r="G57" s="19"/>
    </row>
    <row r="58" spans="2:9" ht="15" customHeight="1">
      <c r="B58" s="52" t="s">
        <v>211</v>
      </c>
      <c r="C58" s="198">
        <f>C14+C15+(C19*G19)+(C20*G20)+C29+C30+(C31*G31)+(C33*G33)+(C34*G34)+(C35*G35)</f>
        <v>12282353</v>
      </c>
      <c r="D58" s="121">
        <f>IF(E58=0,0,E58/C58)</f>
        <v>0.51040569343675435</v>
      </c>
      <c r="E58" s="206">
        <f>E14+E15+(E19*G19)+(E20*G20)+E29+E30+(E31*G31)+(E33*G33)+(E34*G34)+(E35*G35)</f>
        <v>6268982.9000000004</v>
      </c>
      <c r="H58" s="6"/>
    </row>
    <row r="59" spans="2:9" ht="14">
      <c r="B59" s="52" t="s">
        <v>83</v>
      </c>
      <c r="C59" s="198">
        <f>C11+C12+C28</f>
        <v>9216152</v>
      </c>
      <c r="D59" s="199">
        <f>IF(E59=0,0,E59/C59)</f>
        <v>1</v>
      </c>
      <c r="E59" s="200">
        <f>E11+E12+E28</f>
        <v>9216152</v>
      </c>
      <c r="F59" s="6"/>
      <c r="G59" s="6"/>
    </row>
    <row r="60" spans="2:9" ht="14">
      <c r="B60" s="52" t="s">
        <v>127</v>
      </c>
      <c r="C60" s="6"/>
      <c r="D60" s="485">
        <f>((Dashboard!I6*Data!C4)+D52+E50-C58-C59)</f>
        <v>108572222.11839999</v>
      </c>
      <c r="E60" s="486"/>
      <c r="F60" s="6"/>
      <c r="G60" s="6"/>
    </row>
    <row r="61" spans="2:9" ht="15" customHeight="1">
      <c r="D61" s="6"/>
      <c r="E61" s="6"/>
    </row>
    <row r="62" spans="2:9" ht="15" customHeight="1">
      <c r="B62" s="260" t="s">
        <v>235</v>
      </c>
    </row>
    <row r="63" spans="2:9" ht="15" customHeight="1">
      <c r="B63" s="3" t="s">
        <v>238</v>
      </c>
      <c r="D63" s="483">
        <f>((C26-C11-C12-C14-C15-C16*G16-C19*G19-C20*G20)-I26)/Data!C7</f>
        <v>-0.56320349927213076</v>
      </c>
      <c r="E63" s="484"/>
    </row>
    <row r="64" spans="2:9" ht="15" customHeight="1">
      <c r="B64" s="3" t="s">
        <v>237</v>
      </c>
      <c r="D64" s="481">
        <v>0.20330000000000001</v>
      </c>
      <c r="E64" s="482"/>
      <c r="F64" s="239" t="s">
        <v>223</v>
      </c>
    </row>
    <row r="65" spans="2:5" ht="15" customHeight="1">
      <c r="B65" s="260" t="s">
        <v>239</v>
      </c>
      <c r="D65" s="481">
        <v>0.20330000000000001</v>
      </c>
      <c r="E65" s="48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36" sqref="E3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7" t="s">
        <v>221</v>
      </c>
      <c r="C2" s="254" t="s">
        <v>233</v>
      </c>
      <c r="D2" s="254"/>
      <c r="E2" s="254">
        <v>1</v>
      </c>
      <c r="F2" s="254"/>
      <c r="G2" s="254">
        <v>2</v>
      </c>
      <c r="H2" s="12"/>
      <c r="I2" s="254">
        <v>3</v>
      </c>
      <c r="J2" s="254"/>
      <c r="K2" s="12"/>
      <c r="L2" s="12"/>
    </row>
    <row r="3" spans="1:13" ht="15.75" customHeight="1">
      <c r="B3" s="28" t="str">
        <f>'Val Models'!B3</f>
        <v>(Numbers in 1000USD)</v>
      </c>
      <c r="C3" s="250">
        <f>Dashboard!E6</f>
        <v>44926</v>
      </c>
      <c r="D3" s="27" t="s">
        <v>222</v>
      </c>
      <c r="E3" s="250">
        <f>EOMONTH(EDATE(C3,12),0)</f>
        <v>45291</v>
      </c>
      <c r="F3" s="27" t="s">
        <v>222</v>
      </c>
      <c r="G3" s="250">
        <f>IF(G8="","",EOMONTH(EDATE(E3,12),0))</f>
        <v>45657</v>
      </c>
      <c r="H3" s="27"/>
      <c r="I3" s="250">
        <f>IF(I15="","",EOMONTH(EDATE(G3,12),0))</f>
        <v>46022</v>
      </c>
      <c r="J3" s="265"/>
      <c r="L3" s="70" t="s">
        <v>128</v>
      </c>
    </row>
    <row r="4" spans="1:13" ht="15.75" customHeight="1">
      <c r="B4" s="261" t="s">
        <v>347</v>
      </c>
      <c r="C4" s="262">
        <v>5400629</v>
      </c>
      <c r="D4" s="233">
        <f>C4/C7</f>
        <v>0.74252964685553324</v>
      </c>
      <c r="E4" s="262">
        <f>C4*1</f>
        <v>5400629</v>
      </c>
      <c r="F4" s="233">
        <f>E4/E7</f>
        <v>0.92022827011568942</v>
      </c>
      <c r="G4" s="382"/>
      <c r="H4" s="233"/>
      <c r="I4" s="382"/>
      <c r="J4" s="255"/>
      <c r="K4" s="6"/>
      <c r="L4" s="72"/>
      <c r="M4" s="56"/>
    </row>
    <row r="5" spans="1:13" ht="15.75" customHeight="1">
      <c r="B5" s="261" t="s">
        <v>348</v>
      </c>
      <c r="C5" s="262">
        <v>1510291</v>
      </c>
      <c r="D5" s="233">
        <f>C5/C7</f>
        <v>0.20764911696009669</v>
      </c>
      <c r="E5" s="262">
        <f>C5*0.25</f>
        <v>377572.75</v>
      </c>
      <c r="F5" s="233">
        <f>E5/E7</f>
        <v>6.433567619166651E-2</v>
      </c>
      <c r="G5" s="382"/>
      <c r="H5" s="233"/>
      <c r="I5" s="382"/>
      <c r="J5" s="255"/>
      <c r="K5" s="6"/>
      <c r="L5" s="72" t="s">
        <v>350</v>
      </c>
      <c r="M5" s="56"/>
    </row>
    <row r="6" spans="1:13" ht="15.75" customHeight="1">
      <c r="B6" s="261" t="s">
        <v>349</v>
      </c>
      <c r="C6" s="262">
        <v>362364</v>
      </c>
      <c r="D6" s="233">
        <f>C6/C7</f>
        <v>4.9821236184370087E-2</v>
      </c>
      <c r="E6" s="262">
        <f>C6*0.25</f>
        <v>90591</v>
      </c>
      <c r="F6" s="233">
        <f>E6/E7</f>
        <v>1.5436053692644029E-2</v>
      </c>
      <c r="G6" s="382"/>
      <c r="H6" s="233"/>
      <c r="I6" s="382"/>
      <c r="J6" s="255"/>
      <c r="K6" s="6"/>
      <c r="L6" s="72"/>
      <c r="M6" s="56"/>
    </row>
    <row r="7" spans="1:13" ht="15.75" customHeight="1">
      <c r="B7" s="5" t="s">
        <v>130</v>
      </c>
      <c r="C7" s="172">
        <f>SUM(C4:C6)</f>
        <v>7273284</v>
      </c>
      <c r="D7" s="232"/>
      <c r="E7" s="302">
        <f>SUM(E4:E6)</f>
        <v>5868792.75</v>
      </c>
      <c r="F7" s="232"/>
      <c r="G7" s="302">
        <f>E7*1.4</f>
        <v>8216309.8499999996</v>
      </c>
      <c r="H7" s="232"/>
      <c r="I7" s="212">
        <f>G7*1.3</f>
        <v>10681202.805</v>
      </c>
      <c r="J7" s="256"/>
      <c r="K7" s="6"/>
      <c r="L7" s="72"/>
      <c r="M7" s="56"/>
    </row>
    <row r="8" spans="1:13" ht="15.75" customHeight="1">
      <c r="B8" s="17" t="s">
        <v>129</v>
      </c>
      <c r="C8" s="234">
        <f>Data!C8</f>
        <v>0.33623632951150006</v>
      </c>
      <c r="D8" s="234"/>
      <c r="E8" s="18">
        <f>E7/C7-1</f>
        <v>-0.1931027648583501</v>
      </c>
      <c r="F8" s="234"/>
      <c r="G8" s="18">
        <f>G7/E7-1</f>
        <v>0.39999999999999991</v>
      </c>
      <c r="H8" s="234"/>
      <c r="I8" s="71">
        <f>I7/G7-1</f>
        <v>0.30000000000000004</v>
      </c>
      <c r="J8" s="292"/>
      <c r="K8" s="6"/>
      <c r="L8" s="72"/>
      <c r="M8" s="56"/>
    </row>
    <row r="9" spans="1:13" ht="15.75" customHeight="1">
      <c r="B9" s="8" t="s">
        <v>131</v>
      </c>
      <c r="C9" s="173">
        <f>Data!C9</f>
        <v>4511636</v>
      </c>
      <c r="D9" s="235"/>
      <c r="E9" s="211">
        <f>E7*(1-E10)</f>
        <v>3521275.65</v>
      </c>
      <c r="F9" s="235"/>
      <c r="G9" s="253">
        <f>IF(G7="","",G7*(1-G10))</f>
        <v>4929785.9099999992</v>
      </c>
      <c r="H9" s="235"/>
      <c r="I9" s="253">
        <f>IF(I7="","",I7*(1-I10))</f>
        <v>6408721.6829999993</v>
      </c>
      <c r="J9" s="293"/>
      <c r="K9" s="6"/>
      <c r="L9" s="111"/>
      <c r="M9" s="1"/>
    </row>
    <row r="10" spans="1:13" ht="15.75" customHeight="1">
      <c r="B10" s="17" t="s">
        <v>44</v>
      </c>
      <c r="C10" s="178">
        <f>(C7-C9)/C7</f>
        <v>0.37969753415376051</v>
      </c>
      <c r="D10" s="178"/>
      <c r="E10" s="71">
        <v>0.4</v>
      </c>
      <c r="F10" s="178"/>
      <c r="G10" s="71">
        <f>E10</f>
        <v>0.4</v>
      </c>
      <c r="H10" s="178"/>
      <c r="I10" s="71">
        <f>G10</f>
        <v>0.4</v>
      </c>
      <c r="J10" s="294"/>
      <c r="K10" s="6"/>
      <c r="L10" s="72"/>
    </row>
    <row r="11" spans="1:13" ht="15.75" customHeight="1">
      <c r="B11" s="5" t="s">
        <v>132</v>
      </c>
      <c r="C11" s="26">
        <f>C7-C9</f>
        <v>2761648</v>
      </c>
      <c r="D11" s="26"/>
      <c r="E11" s="26">
        <f>E7-E9</f>
        <v>2347517.1</v>
      </c>
      <c r="F11" s="26"/>
      <c r="G11" s="26">
        <f>IF(G8="","",G7-G9)</f>
        <v>3286523.9400000004</v>
      </c>
      <c r="H11" s="26"/>
      <c r="I11" s="26">
        <f>IF(I8="","",I7-I9)</f>
        <v>4272481.1220000004</v>
      </c>
      <c r="J11" s="219"/>
      <c r="K11" s="6"/>
      <c r="L11" s="72"/>
    </row>
    <row r="12" spans="1:13" ht="15.75" customHeight="1">
      <c r="B12" s="17" t="s">
        <v>46</v>
      </c>
      <c r="C12" s="179">
        <f>C13/C7</f>
        <v>0.17332748178126964</v>
      </c>
      <c r="D12" s="179"/>
      <c r="E12" s="210">
        <f>7.36%+12%</f>
        <v>0.19359999999999999</v>
      </c>
      <c r="F12" s="179"/>
      <c r="G12" s="64">
        <f>E12</f>
        <v>0.19359999999999999</v>
      </c>
      <c r="H12" s="179"/>
      <c r="I12" s="64">
        <f>G12</f>
        <v>0.19359999999999999</v>
      </c>
      <c r="J12" s="295"/>
      <c r="K12" s="6"/>
      <c r="L12" s="72"/>
    </row>
    <row r="13" spans="1:13" ht="15.75" customHeight="1">
      <c r="B13" s="8" t="s">
        <v>133</v>
      </c>
      <c r="C13" s="175">
        <f>733096+33834+493730</f>
        <v>1260660</v>
      </c>
      <c r="D13" s="236"/>
      <c r="E13" s="74">
        <f>E7*E12</f>
        <v>1136198.2763999999</v>
      </c>
      <c r="F13" s="236"/>
      <c r="G13" s="74">
        <f>G12*G7</f>
        <v>1590677.58696</v>
      </c>
      <c r="H13" s="236"/>
      <c r="I13" s="74">
        <f>I12*I7</f>
        <v>2067880.8630479998</v>
      </c>
      <c r="J13" s="296"/>
      <c r="K13" s="6"/>
      <c r="L13" s="72"/>
    </row>
    <row r="14" spans="1:13" ht="15.75" customHeight="1">
      <c r="B14" s="17" t="s">
        <v>47</v>
      </c>
      <c r="C14" s="18">
        <f>C16/C7</f>
        <v>0.2063700523724909</v>
      </c>
      <c r="D14" s="18"/>
      <c r="E14" s="18">
        <f>E16/E7</f>
        <v>0.20640000000000003</v>
      </c>
      <c r="F14" s="18"/>
      <c r="G14" s="18">
        <f>IF(G8="","",G16/G7)</f>
        <v>0.20640000000000006</v>
      </c>
      <c r="H14" s="18"/>
      <c r="I14" s="18">
        <f>IF(I8="","",I16/I7)</f>
        <v>0.20640000000000006</v>
      </c>
      <c r="J14" s="213"/>
      <c r="K14" s="6"/>
      <c r="L14" s="72"/>
      <c r="M14" s="56"/>
    </row>
    <row r="15" spans="1:13" ht="15.75" customHeight="1">
      <c r="B15" s="17" t="s">
        <v>134</v>
      </c>
      <c r="C15" s="237">
        <f>Data!C15</f>
        <v>0.62783685811610834</v>
      </c>
      <c r="D15" s="237"/>
      <c r="E15" s="14">
        <f>IF(ABS(C16+E16)=ABS(C16)+ABS(E16),IF(E16&lt;0,-1,1)*(E16-C16)/C16,"Turn")</f>
        <v>-0.19298567103800948</v>
      </c>
      <c r="F15" s="237"/>
      <c r="G15" s="14">
        <f>IF(G8="","",IF(ABS(E16+G16)=ABS(E16)+ABS(G16),IF(G16&lt;0,-1,1)*(G16-E16)/E16,"Turn"))</f>
        <v>0.40000000000000008</v>
      </c>
      <c r="H15" s="237"/>
      <c r="I15" s="14">
        <f>IF(I8="","",IF(ABS(G16+I16)=ABS(G16)+ABS(I16),IF(I16&lt;0,-1,1)*(I16-G16)/G16,"Turn"))</f>
        <v>0.30000000000000004</v>
      </c>
      <c r="J15" s="297"/>
      <c r="K15" s="6"/>
      <c r="L15" s="75"/>
      <c r="M15" s="76"/>
    </row>
    <row r="16" spans="1:13" ht="15.75" customHeight="1">
      <c r="B16" s="126" t="s">
        <v>220</v>
      </c>
      <c r="C16" s="284">
        <f>C11-C13</f>
        <v>1500988</v>
      </c>
      <c r="D16" s="285"/>
      <c r="E16" s="284">
        <f>E11-E13</f>
        <v>1211318.8236000002</v>
      </c>
      <c r="F16" s="285"/>
      <c r="G16" s="284">
        <f>IF(G8="","",G11-G13)</f>
        <v>1695846.3530400004</v>
      </c>
      <c r="H16" s="285"/>
      <c r="I16" s="284">
        <f>IF(I8="","",I11-I13)</f>
        <v>2204600.2589520006</v>
      </c>
      <c r="J16" s="298"/>
      <c r="K16" s="6"/>
      <c r="L16" s="77"/>
      <c r="M16" s="55"/>
    </row>
    <row r="17" spans="2:12" ht="15.75" customHeight="1">
      <c r="B17" s="280" t="s">
        <v>135</v>
      </c>
      <c r="C17" s="281">
        <v>0.25</v>
      </c>
      <c r="D17" s="282"/>
      <c r="E17" s="283">
        <f>IF(E16="","",C17)</f>
        <v>0.25</v>
      </c>
      <c r="F17" s="283"/>
      <c r="G17" s="283">
        <f>IF(G16="","",E17)</f>
        <v>0.25</v>
      </c>
      <c r="H17" s="283"/>
      <c r="I17" s="283">
        <f>IF(I16="","",G17)</f>
        <v>0.25</v>
      </c>
      <c r="J17" s="299"/>
      <c r="L17" s="72"/>
    </row>
    <row r="18" spans="2:12" ht="15.75" customHeight="1">
      <c r="B18" s="289" t="s">
        <v>268</v>
      </c>
      <c r="C18" s="237">
        <f>C19/C9</f>
        <v>0.24951946477951678</v>
      </c>
      <c r="D18" s="291"/>
      <c r="E18" s="290">
        <f>E19/E9</f>
        <v>0.25800000000000006</v>
      </c>
      <c r="F18" s="290"/>
      <c r="G18" s="290">
        <f>IF(G9="","",G19/G9)</f>
        <v>0.25800000000000012</v>
      </c>
      <c r="H18" s="290"/>
      <c r="I18" s="290">
        <f>IF(I9="","",I19/I9)</f>
        <v>0.25800000000000006</v>
      </c>
      <c r="J18" s="300"/>
    </row>
    <row r="19" spans="2:12" ht="15.75" customHeight="1">
      <c r="B19" s="286" t="s">
        <v>74</v>
      </c>
      <c r="C19" s="287">
        <f>IF(C16&lt;=0,C16,C16*(1-C17))</f>
        <v>1125741</v>
      </c>
      <c r="D19" s="287"/>
      <c r="E19" s="288">
        <f>IF(E16="","",IF(E16&lt;=0,E16,E16*(1-E17)))</f>
        <v>908489.11770000018</v>
      </c>
      <c r="F19" s="287"/>
      <c r="G19" s="288">
        <f>IF(G16="","",IF(G16&lt;=0,G16,G16*(1-G17)))</f>
        <v>1271884.7647800003</v>
      </c>
      <c r="H19" s="287"/>
      <c r="I19" s="288">
        <f>IF(I16="","",IF(I16&lt;=0,I16,I16*(1-I17)))</f>
        <v>1653450.1942140004</v>
      </c>
      <c r="J19" s="301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9:H12 H13 G14:H16">
    <cfRule type="containsBlanks" dxfId="5" priority="10">
      <formula>LEN(TRIM(G9))=0</formula>
    </cfRule>
  </conditionalFormatting>
  <conditionalFormatting sqref="H8 G9:H12 H13 G14:H16">
    <cfRule type="containsBlanks" priority="11">
      <formula>LEN(TRIM(G8))=0</formula>
    </cfRule>
  </conditionalFormatting>
  <conditionalFormatting sqref="H8:J8 G9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7"/>
  <sheetViews>
    <sheetView showGridLines="0" zoomScaleNormal="100" zoomScalePageLayoutView="80" workbookViewId="0">
      <selection activeCell="G25" sqref="G25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7" t="s">
        <v>361</v>
      </c>
      <c r="C2" s="254" t="s">
        <v>233</v>
      </c>
      <c r="D2" s="254">
        <v>1</v>
      </c>
      <c r="E2" s="254">
        <v>2</v>
      </c>
      <c r="F2" s="254">
        <v>3</v>
      </c>
      <c r="G2" s="254" t="str">
        <f>B22</f>
        <v>TV after Year 3</v>
      </c>
      <c r="H2" s="12"/>
      <c r="I2" s="12"/>
    </row>
    <row r="3" spans="1:10" ht="15.75" customHeight="1">
      <c r="B3" s="28" t="str">
        <f>"(Numbers in "&amp;Data!C4&amp;Dashboard!I11&amp;")"</f>
        <v>(Numbers in 1000USD)</v>
      </c>
      <c r="C3" s="250">
        <f>Operation!C3</f>
        <v>44926</v>
      </c>
      <c r="D3" s="250">
        <f>Operation!E3</f>
        <v>45291</v>
      </c>
      <c r="E3" s="250">
        <f>Operation!G3</f>
        <v>45657</v>
      </c>
      <c r="F3" s="250">
        <f>Operation!I3</f>
        <v>46022</v>
      </c>
      <c r="G3" s="27" t="s">
        <v>232</v>
      </c>
      <c r="I3" s="70" t="s">
        <v>128</v>
      </c>
    </row>
    <row r="4" spans="1:10" ht="15.75" customHeight="1">
      <c r="B4" s="5" t="str">
        <f>IF(Dashboard!D20="Fast Growers", "Sales","NOPAT")</f>
        <v>Sales</v>
      </c>
      <c r="C4" s="174">
        <f>IF(B4="NOPAT",Operation!C19,Operation!C7)</f>
        <v>7273284</v>
      </c>
      <c r="D4" s="44">
        <f>IF(B4="NOPAT",Operation!E19,Operation!E7)</f>
        <v>5868792.75</v>
      </c>
      <c r="E4" s="44">
        <f>IF(Operation!G7="","",IF(B4="NOPAT",Operation!G19,Operation!G7))</f>
        <v>8216309.8499999996</v>
      </c>
      <c r="F4" s="191">
        <f>IF(Operation!I7="","",IF(B4="NOPAT",Operation!I19,Operation!I7))</f>
        <v>10681202.805</v>
      </c>
      <c r="G4" s="270">
        <f>IF(F3="",IF(E3="",1,2),3)</f>
        <v>3</v>
      </c>
      <c r="H4" s="6"/>
      <c r="I4" s="77"/>
      <c r="J4" s="55"/>
    </row>
    <row r="5" spans="1:10" ht="15.75" customHeight="1">
      <c r="B5" s="17" t="str">
        <f>B4&amp;" Growth rate"</f>
        <v>Sales Growth rate</v>
      </c>
      <c r="C5" s="230"/>
      <c r="D5" s="231">
        <f>D4/C4-1</f>
        <v>-0.1931027648583501</v>
      </c>
      <c r="E5" s="231">
        <f>IF(E4="","",E4/D4-1)</f>
        <v>0.39999999999999991</v>
      </c>
      <c r="F5" s="231">
        <f>IF(F4="","",F4/E4-1)</f>
        <v>0.30000000000000004</v>
      </c>
      <c r="G5" s="188"/>
      <c r="H5" s="6"/>
      <c r="I5" s="77"/>
      <c r="J5" s="55"/>
    </row>
    <row r="6" spans="1:10" ht="15.75" customHeight="1">
      <c r="B6" s="17" t="str">
        <f>B8&amp;"/"&amp;B4</f>
        <v>Reinvestment/Sales</v>
      </c>
      <c r="C6" s="64">
        <v>0.8</v>
      </c>
      <c r="D6" s="210">
        <v>0.8</v>
      </c>
      <c r="E6" s="64">
        <v>0.7</v>
      </c>
      <c r="F6" s="274">
        <v>0.55000000000000004</v>
      </c>
      <c r="G6" s="189"/>
      <c r="H6" s="6"/>
      <c r="I6" s="75"/>
    </row>
    <row r="7" spans="1:10" ht="15.75" customHeight="1">
      <c r="B7" s="17" t="s">
        <v>367</v>
      </c>
      <c r="C7" s="494"/>
      <c r="D7" s="495"/>
      <c r="E7" s="494"/>
      <c r="F7" s="496">
        <f>(F4-C4)/SUM(C8:E8)</f>
        <v>0.20952366433106062</v>
      </c>
      <c r="G7" s="189"/>
      <c r="H7" s="6"/>
      <c r="I7" s="75" t="s">
        <v>368</v>
      </c>
    </row>
    <row r="8" spans="1:10" ht="15" customHeight="1" thickBot="1">
      <c r="B8" s="389" t="s">
        <v>73</v>
      </c>
      <c r="C8" s="275">
        <f>C4*C6</f>
        <v>5818627.2000000002</v>
      </c>
      <c r="D8" s="275">
        <f>D4*D6</f>
        <v>4695034.2</v>
      </c>
      <c r="E8" s="276">
        <f>E6*E4</f>
        <v>5751416.8949999996</v>
      </c>
      <c r="F8" s="276">
        <f>F6*F4</f>
        <v>5874661.54275</v>
      </c>
      <c r="G8" s="190"/>
      <c r="H8" s="79"/>
      <c r="I8" s="55"/>
      <c r="J8" s="55"/>
    </row>
    <row r="9" spans="1:10" ht="15.75" customHeight="1" thickTop="1">
      <c r="B9" s="17" t="str">
        <f>IF(B8="Reinvestment","FCFF","Retention")</f>
        <v>FCFF</v>
      </c>
      <c r="C9" s="182">
        <f>IF(C4="","",Operation!C19-C8)</f>
        <v>-4692886.2</v>
      </c>
      <c r="D9" s="181">
        <f>Operation!E19-D8</f>
        <v>-3786545.0822999999</v>
      </c>
      <c r="E9" s="181">
        <f>IF(E4="","",Operation!G19-E8)</f>
        <v>-4479532.1302199997</v>
      </c>
      <c r="F9" s="181">
        <f>IF(F4="","",Operation!I19-F8)</f>
        <v>-4221211.3485359997</v>
      </c>
      <c r="G9" s="356"/>
      <c r="H9" s="79"/>
      <c r="I9" s="55"/>
      <c r="J9" s="55"/>
    </row>
    <row r="10" spans="1:10" ht="15.75" customHeight="1">
      <c r="B10" s="192" t="str">
        <f>B9&amp;" per share"</f>
        <v>FCFF per share</v>
      </c>
      <c r="C10" s="183">
        <f>C9/(Common_Shares/Data!$C$4)</f>
        <v>-0.78627170557938664</v>
      </c>
      <c r="D10" s="272">
        <f>D9/(Common_Shares/Data!$C$4)</f>
        <v>-0.63441837991154781</v>
      </c>
      <c r="E10" s="272">
        <f>IF(E9="","",E9/(Common_Shares/Data!$C$4))</f>
        <v>-0.75052520306708959</v>
      </c>
      <c r="F10" s="272">
        <f>IF(F9="","",F9/(Common_Shares/Data!$C$4))</f>
        <v>-0.70724473280951561</v>
      </c>
      <c r="G10" s="375">
        <f>IF(F4="",IF(E4="",D9,E9),F9)*Data!C$4/Common_Shares</f>
        <v>-0.70724473280951561</v>
      </c>
      <c r="H10" s="79"/>
      <c r="I10" s="55"/>
      <c r="J10" s="55"/>
    </row>
    <row r="11" spans="1:10" ht="15.75" customHeight="1">
      <c r="B11" s="17" t="s">
        <v>137</v>
      </c>
      <c r="C11" s="180"/>
      <c r="D11" s="207">
        <f ca="1">Dashboard!C12</f>
        <v>0.08</v>
      </c>
      <c r="E11" s="18">
        <f ca="1">IF(E4="","",D11)</f>
        <v>0.08</v>
      </c>
      <c r="F11" s="18">
        <f ca="1">IF(F4="","",D11)</f>
        <v>0.08</v>
      </c>
      <c r="G11" s="373">
        <f ca="1">Dashboard!C12</f>
        <v>0.08</v>
      </c>
      <c r="H11" s="61"/>
      <c r="I11" s="56"/>
      <c r="J11" s="56"/>
    </row>
    <row r="12" spans="1:10" ht="15.75" customHeight="1" thickBot="1">
      <c r="B12" s="80" t="s">
        <v>138</v>
      </c>
      <c r="C12" s="109"/>
      <c r="D12" s="208">
        <f ca="1">IF(D4="","",1+D11)</f>
        <v>1.08</v>
      </c>
      <c r="E12" s="209">
        <f ca="1">IF(E4="","",(1+D11)*(1+E11))</f>
        <v>1.1664000000000001</v>
      </c>
      <c r="F12" s="209">
        <f ca="1">IF(F4="","",(1+D11)*(1+E11)*(1+F11))</f>
        <v>1.2597120000000002</v>
      </c>
      <c r="G12" s="376">
        <f ca="1">IF(F4="",IF(E4="",D12,E12),F12)*(1+G11)</f>
        <v>1.3604889600000003</v>
      </c>
      <c r="H12" s="61"/>
      <c r="I12" s="56"/>
      <c r="J12" s="56"/>
    </row>
    <row r="13" spans="1:10" ht="15.75" customHeight="1" thickTop="1">
      <c r="B13" s="8" t="str">
        <f>"PV "&amp;B9&amp;" per share"</f>
        <v>PV FCFF per share</v>
      </c>
      <c r="C13" s="324"/>
      <c r="D13" s="185">
        <f ca="1">IF(D10="","",D10/D12)</f>
        <v>-0.58742442584402577</v>
      </c>
      <c r="E13" s="186">
        <f ca="1">IF(E10="","",E10/E12)</f>
        <v>-0.6434543922042949</v>
      </c>
      <c r="F13" s="186">
        <f ca="1">IF(F10="","",F10/F12)</f>
        <v>-0.56143367119588883</v>
      </c>
      <c r="G13" s="377"/>
      <c r="H13" s="78"/>
      <c r="I13" s="55"/>
      <c r="J13" s="55"/>
    </row>
    <row r="14" spans="1:10" ht="15.75" customHeight="1">
      <c r="E14" s="392"/>
      <c r="F14" s="6"/>
      <c r="G14" s="110"/>
    </row>
    <row r="15" spans="1:10" ht="15.75" customHeight="1">
      <c r="B15" s="333" t="s">
        <v>203</v>
      </c>
      <c r="C15" s="184" t="str">
        <f>B3</f>
        <v>(Numbers in 1000USD)</v>
      </c>
      <c r="E15" s="70" t="s">
        <v>204</v>
      </c>
    </row>
    <row r="16" spans="1:10" ht="15.75" customHeight="1">
      <c r="B16" s="57" t="s">
        <v>214</v>
      </c>
      <c r="C16" s="81">
        <f>Asset_Model!E59</f>
        <v>9216152</v>
      </c>
      <c r="D16" s="204">
        <f>C16/(Dashboard!I5/Data!C4)</f>
        <v>1.5441242858006818</v>
      </c>
      <c r="E16" s="82" t="s">
        <v>212</v>
      </c>
      <c r="G16" s="129">
        <f>C16+C17+C18+C19</f>
        <v>-4048418.0999999996</v>
      </c>
    </row>
    <row r="17" spans="1:9" ht="15.75" customHeight="1">
      <c r="B17" s="57" t="s">
        <v>218</v>
      </c>
      <c r="C17" s="81">
        <f>Asset_Model!E58</f>
        <v>6268982.9000000004</v>
      </c>
      <c r="D17" s="204">
        <f>C17/(Dashboard!I5/Data!C4)</f>
        <v>1.0503395281630759</v>
      </c>
      <c r="E17" s="82" t="s">
        <v>290</v>
      </c>
      <c r="G17" s="187">
        <f>(G16+MIN(D4,0))*Data!C$4/Dashboard!I5</f>
        <v>-0.67829401113230903</v>
      </c>
    </row>
    <row r="18" spans="1:9" ht="15.75" customHeight="1">
      <c r="B18" s="57" t="s">
        <v>205</v>
      </c>
      <c r="C18" s="81">
        <f>-Asset_Model!D52</f>
        <v>-9352809</v>
      </c>
      <c r="D18" s="204">
        <f>C18/(Dashboard!I5/Data!C4)</f>
        <v>-1.5670205436450255</v>
      </c>
      <c r="E18" s="488" t="str">
        <f>IF(F19+G19=G17,"⇒","Error!")</f>
        <v>⇒</v>
      </c>
      <c r="F18" s="138" t="s">
        <v>219</v>
      </c>
      <c r="G18" s="84" t="s">
        <v>20</v>
      </c>
    </row>
    <row r="19" spans="1:9" ht="15.75" customHeight="1">
      <c r="B19" s="82" t="s">
        <v>213</v>
      </c>
      <c r="C19" s="81">
        <f>-Asset_Model!E50</f>
        <v>-10180744</v>
      </c>
      <c r="D19" s="204">
        <f>C19/(Dashboard!I5/Data!C4)</f>
        <v>-1.7057372814510412</v>
      </c>
      <c r="E19" s="488"/>
      <c r="F19" s="140">
        <f>D16+(MIN(D4,0)*Data!C$4/Dashboard!I5)</f>
        <v>1.5441242858006818</v>
      </c>
      <c r="G19" s="139">
        <f>SUM(D17:D19)</f>
        <v>-2.2224182969329909</v>
      </c>
    </row>
    <row r="20" spans="1:9" ht="15.75" customHeight="1">
      <c r="F20" s="6"/>
      <c r="G20" s="6"/>
    </row>
    <row r="21" spans="1:9" ht="15.75" customHeight="1">
      <c r="B21" s="25" t="s">
        <v>360</v>
      </c>
      <c r="C21" s="184" t="str">
        <f>B3</f>
        <v>(Numbers in 1000USD)</v>
      </c>
      <c r="E21" s="489" t="s">
        <v>208</v>
      </c>
      <c r="F21" s="489"/>
      <c r="G21" s="91"/>
    </row>
    <row r="22" spans="1:9" ht="15.75" customHeight="1">
      <c r="B22" s="120" t="str">
        <f>"TV after Year "&amp;G4</f>
        <v>TV after Year 3</v>
      </c>
      <c r="C22" s="388" t="s">
        <v>352</v>
      </c>
      <c r="D22" s="247" t="s">
        <v>354</v>
      </c>
      <c r="E22" s="271" t="s">
        <v>207</v>
      </c>
      <c r="F22" s="238" t="str">
        <f>"Equity Value ("&amp;Dashboard!I11&amp;")"</f>
        <v>Equity Value (USD)</v>
      </c>
      <c r="G22" s="328" t="str">
        <f>"Equity Value ("&amp;Dashboard!J4&amp;")"</f>
        <v>Equity Value (HKD)</v>
      </c>
      <c r="I22" s="83"/>
    </row>
    <row r="23" spans="1:9" ht="15.75" customHeight="1">
      <c r="B23" s="29" t="s">
        <v>263</v>
      </c>
      <c r="C23" s="266">
        <v>2.69</v>
      </c>
      <c r="D23" s="390">
        <f>C23*F4*Data!C4/Common_Shares</f>
        <v>4.8139886924534334</v>
      </c>
      <c r="E23" s="386">
        <f>IF(D23="",IF(G10&lt;0,G10,G10*C23/G12),D23)</f>
        <v>4.8139886924534334</v>
      </c>
      <c r="F23" s="326">
        <f ca="1">SUM(D13:F13)+E23+$G$17</f>
        <v>2.3433821920769149</v>
      </c>
      <c r="G23" s="329">
        <f ca="1">F23*Exchange_Rate</f>
        <v>18.30511152303178</v>
      </c>
      <c r="I23" s="72" t="s">
        <v>357</v>
      </c>
    </row>
    <row r="24" spans="1:9" ht="15.75" customHeight="1" thickBot="1">
      <c r="B24" s="325" t="s">
        <v>264</v>
      </c>
      <c r="C24" s="279">
        <v>4.34</v>
      </c>
      <c r="D24" s="391">
        <f>C24*F4*Data!C4/Common_Shares</f>
        <v>7.7668070354081422</v>
      </c>
      <c r="E24" s="387">
        <f>IF(D24="",IF(G10&lt;0,G10,G10*C24/G12),D24)</f>
        <v>7.7668070354081422</v>
      </c>
      <c r="F24" s="327">
        <f ca="1">SUM(D13:F13)+E24+$G$17</f>
        <v>5.2962005350316232</v>
      </c>
      <c r="G24" s="330">
        <f ca="1">F24*Exchange_Rate</f>
        <v>41.370776721730934</v>
      </c>
      <c r="I24" s="72" t="s">
        <v>353</v>
      </c>
    </row>
    <row r="25" spans="1:9" ht="15.5" customHeight="1" thickTop="1">
      <c r="C25" s="6"/>
      <c r="D25" s="6"/>
      <c r="E25" s="490" t="s">
        <v>366</v>
      </c>
      <c r="F25" s="491"/>
      <c r="G25" s="357">
        <f ca="1">MIN(G23,G24)+ABS(G23-G24)*'Qualitative Analysis'!$E$64</f>
        <v>29.459008194117011</v>
      </c>
    </row>
    <row r="26" spans="1:9" ht="15.75" customHeight="1"/>
    <row r="27" spans="1:9" ht="15.75" customHeight="1">
      <c r="A27" s="4"/>
      <c r="B27" s="87" t="s">
        <v>316</v>
      </c>
      <c r="C27" s="254" t="s">
        <v>233</v>
      </c>
      <c r="D27" s="254">
        <v>1</v>
      </c>
      <c r="E27" s="254">
        <v>2</v>
      </c>
      <c r="F27" s="254">
        <v>3</v>
      </c>
      <c r="G27" s="254" t="str">
        <f>G2</f>
        <v>TV after Year 3</v>
      </c>
      <c r="H27" s="12"/>
      <c r="I27" s="12"/>
    </row>
    <row r="28" spans="1:9" ht="15.75" customHeight="1">
      <c r="B28" s="28" t="str">
        <f>B3</f>
        <v>(Numbers in 1000USD)</v>
      </c>
      <c r="C28" s="250">
        <f>C3</f>
        <v>44926</v>
      </c>
      <c r="D28" s="250">
        <f>D3</f>
        <v>45291</v>
      </c>
      <c r="E28" s="250">
        <f>E3</f>
        <v>45657</v>
      </c>
      <c r="F28" s="250">
        <f>F3</f>
        <v>46022</v>
      </c>
      <c r="G28" s="27" t="str">
        <f>G3</f>
        <v>Terminal Value</v>
      </c>
      <c r="I28" s="72" t="s">
        <v>338</v>
      </c>
    </row>
    <row r="29" spans="1:9" ht="15.75" customHeight="1">
      <c r="B29" s="5" t="s">
        <v>136</v>
      </c>
      <c r="C29" s="26">
        <f>C4</f>
        <v>7273284</v>
      </c>
      <c r="D29" s="26">
        <f>D4</f>
        <v>5868792.75</v>
      </c>
      <c r="E29" s="26">
        <f>E4</f>
        <v>8216309.8499999996</v>
      </c>
      <c r="F29" s="353">
        <f>F4</f>
        <v>10681202.805</v>
      </c>
      <c r="G29" s="378">
        <f>D29*1.02</f>
        <v>5986168.6050000004</v>
      </c>
      <c r="I29" s="72" t="s">
        <v>335</v>
      </c>
    </row>
    <row r="30" spans="1:9" ht="15.75" customHeight="1">
      <c r="B30" s="354" t="s">
        <v>317</v>
      </c>
      <c r="C30" s="64">
        <v>0.05</v>
      </c>
      <c r="D30" s="210">
        <v>0.05</v>
      </c>
      <c r="E30" s="64">
        <v>0.05</v>
      </c>
      <c r="F30" s="274">
        <v>0.05</v>
      </c>
      <c r="G30" s="274">
        <v>0.04</v>
      </c>
      <c r="I30" s="72"/>
    </row>
    <row r="31" spans="1:9" ht="15.75" customHeight="1">
      <c r="B31" s="354" t="s">
        <v>326</v>
      </c>
      <c r="C31" s="379">
        <f>MAX(Asset_Model!D52,0)</f>
        <v>9352809</v>
      </c>
      <c r="D31" s="361">
        <f>C31*1.05</f>
        <v>9820449.4500000011</v>
      </c>
      <c r="E31" s="360">
        <f>D31*1.05</f>
        <v>10311471.922500001</v>
      </c>
      <c r="F31" s="360">
        <f>E31*1.05</f>
        <v>10827045.518625002</v>
      </c>
      <c r="G31" s="360">
        <f>IF(F31&lt;&gt;"",F31,IF(E31&lt;&gt;"",E31,D31))*1.05</f>
        <v>11368397.794556253</v>
      </c>
      <c r="I31" s="72" t="s">
        <v>327</v>
      </c>
    </row>
    <row r="32" spans="1:9" ht="15.75" customHeight="1">
      <c r="B32" s="354" t="s">
        <v>331</v>
      </c>
      <c r="C32" s="380">
        <f>Operation!C17</f>
        <v>0.25</v>
      </c>
      <c r="D32" s="380">
        <f>Operation!E17</f>
        <v>0.25</v>
      </c>
      <c r="E32" s="380">
        <f>Operation!G17</f>
        <v>0.25</v>
      </c>
      <c r="F32" s="380">
        <f>Operation!I17</f>
        <v>0.25</v>
      </c>
      <c r="G32" s="380">
        <f>IF(F32&lt;&gt;"",F32,IF(E32&lt;&gt;"",E32,D32))</f>
        <v>0.25</v>
      </c>
      <c r="I32" s="72"/>
    </row>
    <row r="33" spans="1:9" ht="15.75" customHeight="1" thickBot="1">
      <c r="B33" s="355" t="s">
        <v>330</v>
      </c>
      <c r="C33" s="358">
        <f>C31*(C30*(1-Operation!C17))</f>
        <v>350730.33750000002</v>
      </c>
      <c r="D33" s="358">
        <f>(D31*D30)*(1-D32)</f>
        <v>368266.85437500005</v>
      </c>
      <c r="E33" s="359">
        <f>IF(E29="","",(E31*E30)*(1-E32))</f>
        <v>386680.19709375006</v>
      </c>
      <c r="F33" s="359">
        <f>IF(F29="","",(F31*F30)*(1-F32))</f>
        <v>406014.20694843761</v>
      </c>
      <c r="G33" s="358">
        <f>(G31*G30)*(1-Operation!E17)</f>
        <v>341051.93383668759</v>
      </c>
      <c r="I33" s="72"/>
    </row>
    <row r="34" spans="1:9" ht="15.75" customHeight="1" thickTop="1">
      <c r="B34" s="354" t="s">
        <v>318</v>
      </c>
      <c r="C34" s="182">
        <f>C29-C33</f>
        <v>6922553.6624999996</v>
      </c>
      <c r="D34" s="181">
        <f>D29-D33</f>
        <v>5500525.8956249999</v>
      </c>
      <c r="E34" s="181">
        <f>IF(E29="","",E29-E33)</f>
        <v>7829629.6529062493</v>
      </c>
      <c r="F34" s="181">
        <f>IF(F29="","",F29-F33)</f>
        <v>10275188.598051563</v>
      </c>
      <c r="G34" s="363">
        <f>G29-G33</f>
        <v>5645116.6711633131</v>
      </c>
      <c r="I34" s="72" t="s">
        <v>322</v>
      </c>
    </row>
    <row r="35" spans="1:9" ht="15.75" customHeight="1">
      <c r="B35" s="264" t="s">
        <v>319</v>
      </c>
      <c r="C35" s="183">
        <f>C34/(Common_Shares/Data!$C$4)</f>
        <v>1.1598423322472009</v>
      </c>
      <c r="D35" s="272">
        <f>D34/(Common_Shares/Data!$C$4)</f>
        <v>0.9215880575873866</v>
      </c>
      <c r="E35" s="272">
        <f>IF(E34="","",E34/(Common_Shares/Data!$C$4))</f>
        <v>1.3118187824894492</v>
      </c>
      <c r="F35" s="272">
        <f>IF(F34="","",F34/(Common_Shares/Data!$C$4))</f>
        <v>1.7215610436366151</v>
      </c>
      <c r="G35" s="183">
        <f>G34/(Common_Shares/Data!$C$4)</f>
        <v>0.94581358338290999</v>
      </c>
      <c r="H35" s="6"/>
      <c r="I35" s="72"/>
    </row>
    <row r="36" spans="1:9" ht="15.75" customHeight="1">
      <c r="B36" s="354" t="s">
        <v>324</v>
      </c>
      <c r="C36" s="362">
        <f>Dashboard!C31</f>
        <v>13.8</v>
      </c>
      <c r="D36" s="207">
        <f ca="1">D11</f>
        <v>0.08</v>
      </c>
      <c r="E36" s="18">
        <f ca="1">IF(E11="","",E11)</f>
        <v>0.08</v>
      </c>
      <c r="F36" s="18">
        <f ca="1">IF(F11="","",F11)</f>
        <v>0.08</v>
      </c>
      <c r="G36" s="373">
        <f ca="1">G11</f>
        <v>0.08</v>
      </c>
      <c r="I36" s="72"/>
    </row>
    <row r="37" spans="1:9" ht="15.75" customHeight="1" thickBot="1">
      <c r="B37" s="355" t="s">
        <v>323</v>
      </c>
      <c r="C37" s="367"/>
      <c r="D37" s="368">
        <f ca="1">C36*D36</f>
        <v>1.1040000000000001</v>
      </c>
      <c r="E37" s="369">
        <f ca="1">IF(E36="","", $D$37)</f>
        <v>1.1040000000000001</v>
      </c>
      <c r="F37" s="369">
        <f ca="1">IF(F36="","", $D$37)</f>
        <v>1.1040000000000001</v>
      </c>
      <c r="G37" s="374">
        <f ca="1">D37</f>
        <v>1.1040000000000001</v>
      </c>
      <c r="H37" s="6"/>
      <c r="I37" s="72"/>
    </row>
    <row r="38" spans="1:9" ht="15.75" customHeight="1" thickTop="1">
      <c r="B38" s="5" t="s">
        <v>320</v>
      </c>
      <c r="C38" s="383">
        <f>'Qualitative Analysis'!E64^2</f>
        <v>0.23384132653061221</v>
      </c>
      <c r="D38" s="365">
        <f ca="1">D35-D37</f>
        <v>-0.18241194241261349</v>
      </c>
      <c r="E38" s="365">
        <f ca="1">IF(E35="","",E35-E37)</f>
        <v>0.20781878248944907</v>
      </c>
      <c r="F38" s="365">
        <f ca="1">IF(F35="","",F35-F37)</f>
        <v>0.61756104363661501</v>
      </c>
      <c r="G38" s="366">
        <f ca="1">G35-G37</f>
        <v>-0.1581864166170901</v>
      </c>
      <c r="I38" s="72" t="s">
        <v>321</v>
      </c>
    </row>
    <row r="39" spans="1:9" ht="15.75" customHeight="1" thickBot="1">
      <c r="B39" s="5" t="s">
        <v>138</v>
      </c>
      <c r="C39" s="364"/>
      <c r="D39" s="370">
        <f ca="1">D12</f>
        <v>1.08</v>
      </c>
      <c r="E39" s="370">
        <f ca="1">E12</f>
        <v>1.1664000000000001</v>
      </c>
      <c r="F39" s="370">
        <f ca="1">F12</f>
        <v>1.2597120000000002</v>
      </c>
      <c r="G39" s="370">
        <f ca="1">IF(F31="",IF(E31="",D39,E39),F39)*(1+G36-C38)</f>
        <v>1.0659162348734696</v>
      </c>
      <c r="I39" s="72"/>
    </row>
    <row r="40" spans="1:9" ht="15.75" customHeight="1" thickTop="1">
      <c r="B40" s="126" t="s">
        <v>329</v>
      </c>
      <c r="C40" s="371"/>
      <c r="D40" s="372">
        <f ca="1">D38/D39</f>
        <v>-0.16889994667834582</v>
      </c>
      <c r="E40" s="372">
        <f ca="1">IF(E38="","",E38/E39)</f>
        <v>0.17817110981605713</v>
      </c>
      <c r="F40" s="372">
        <f ca="1">IF(F38="","",F38/F39)</f>
        <v>0.49023986723680885</v>
      </c>
      <c r="G40" s="372">
        <f ca="1">G38/G39</f>
        <v>-0.14840417233711403</v>
      </c>
      <c r="I40" s="72"/>
    </row>
    <row r="41" spans="1:9" ht="15.75" customHeight="1" thickBot="1">
      <c r="B41" s="25" t="s">
        <v>363</v>
      </c>
      <c r="C41" s="6"/>
      <c r="D41" s="6"/>
      <c r="E41" s="492" t="s">
        <v>339</v>
      </c>
      <c r="F41" s="493"/>
      <c r="G41" s="381">
        <f>Asset_Model!D7</f>
        <v>0</v>
      </c>
    </row>
    <row r="42" spans="1:9" ht="15.75" customHeight="1" thickTop="1">
      <c r="E42" s="490" t="s">
        <v>325</v>
      </c>
      <c r="F42" s="491"/>
      <c r="G42" s="357">
        <f ca="1">MAX((G41+SUM(D40:G40))*Exchange_Rate,0)</f>
        <v>2.7426384883379948</v>
      </c>
    </row>
    <row r="43" spans="1:9" ht="15.75" customHeight="1"/>
    <row r="44" spans="1:9" ht="15.75" customHeight="1">
      <c r="A44" s="4"/>
      <c r="B44" s="87" t="s">
        <v>364</v>
      </c>
      <c r="E44" s="29" t="s">
        <v>202</v>
      </c>
      <c r="F44" s="29" t="s">
        <v>355</v>
      </c>
      <c r="G44" s="29" t="s">
        <v>356</v>
      </c>
      <c r="H44" s="125"/>
      <c r="I44" s="192"/>
    </row>
    <row r="45" spans="1:9" ht="15.75" customHeight="1">
      <c r="B45" s="229" t="s">
        <v>294</v>
      </c>
      <c r="C45" s="227">
        <f ca="1">MIN(G25,G42)+ABS(G25-G42)*'Qualitative Analysis'!$E$8</f>
        <v>12.894858976534021</v>
      </c>
      <c r="D45" s="114" t="str">
        <f>Dashboard!J4</f>
        <v>HKD</v>
      </c>
      <c r="E45" s="115">
        <f ca="1">(C45-G17)/C10</f>
        <v>-17.262675092275597</v>
      </c>
      <c r="F45" s="150">
        <f ca="1">C45/(Data!C28*Exchange_Rate*Data!C4/Common_Shares)</f>
        <v>0.34020042475105555</v>
      </c>
      <c r="G45" s="150">
        <f ca="1">C45/(Data!C7*Data!C4*Exchange_Rate/Common_Shares)</f>
        <v>1.3546408645110162</v>
      </c>
      <c r="I45" s="72"/>
    </row>
    <row r="46" spans="1:9" ht="15.75" customHeight="1">
      <c r="B46" s="321" t="s">
        <v>332</v>
      </c>
      <c r="C46" s="323">
        <f>Operation!E7*Data!C4*3.2/Common_Shares*Exchange_Rate</f>
        <v>24.578797414531238</v>
      </c>
      <c r="D46" s="322" t="str">
        <f>D45</f>
        <v>HKD</v>
      </c>
      <c r="E46" s="115">
        <f>(C46-G17)/C10</f>
        <v>-32.122599918627543</v>
      </c>
      <c r="F46" s="150">
        <f>C46/(Asset_Model!I3*Exchange_Rate*Data!C4/Common_Shares)</f>
        <v>0.96785182471723019</v>
      </c>
      <c r="G46" s="150">
        <f>C46/(Data!C7*Data!C4*Exchange_Rate/Common_Shares)</f>
        <v>2.5820711524532802</v>
      </c>
      <c r="I46" s="72"/>
    </row>
    <row r="47" spans="1:9" ht="15.75" customHeight="1">
      <c r="B47" s="334" t="s">
        <v>333</v>
      </c>
      <c r="C47" s="332">
        <f ca="1">MIN(C46,C45)+ABS(C46-C45)*'Qualitative Analysis'!E64</f>
        <v>18.544877778336961</v>
      </c>
      <c r="D47" s="322" t="str">
        <f>D46</f>
        <v>HKD</v>
      </c>
      <c r="E47" s="115">
        <f ca="1">(C47-G17)/C10</f>
        <v>-24.448510169018647</v>
      </c>
      <c r="F47" s="150">
        <f ca="1">C47/(Asset_Model!I3*Exchange_Rate*Data!C4/Common_Shares)</f>
        <v>0.73025109789586318</v>
      </c>
      <c r="G47" s="150">
        <f ca="1">C47/(Data!C7*Data!C4*Exchange_Rate/Common_Shares)</f>
        <v>1.9481910823230966</v>
      </c>
    </row>
    <row r="48" spans="1:9" ht="15.75" customHeight="1">
      <c r="B48" s="321" t="s">
        <v>295</v>
      </c>
      <c r="C48" s="332">
        <f ca="1">MAX(G42,C45)/(1+Dashboard!I14)</f>
        <v>10.315887181227216</v>
      </c>
      <c r="D48" s="322" t="str">
        <f>D46</f>
        <v>HKD</v>
      </c>
      <c r="E48" s="115">
        <f ca="1">(C48-G17)/C10</f>
        <v>-13.982674327900622</v>
      </c>
      <c r="F48" s="150">
        <f ca="1">C48/(Asset_Model!I3*Exchange_Rate*Data!C4/Common_Shares)</f>
        <v>0.40621394381260711</v>
      </c>
      <c r="G48" s="150">
        <f ca="1">C48/(Data!C7*Data!C4*Exchange_Rate/Common_Shares)</f>
        <v>1.0837126916088129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</sheetData>
  <mergeCells count="5">
    <mergeCell ref="E18:E19"/>
    <mergeCell ref="E21:F21"/>
    <mergeCell ref="E25:F25"/>
    <mergeCell ref="E42:F42"/>
    <mergeCell ref="E41:F41"/>
  </mergeCells>
  <phoneticPr fontId="31" type="noConversion"/>
  <conditionalFormatting sqref="D23:G24">
    <cfRule type="cellIs" dxfId="2" priority="1" operator="equal">
      <formula>#REF!</formula>
    </cfRule>
  </conditionalFormatting>
  <conditionalFormatting sqref="E4:F13 E29:F40">
    <cfRule type="containsBlanks" dxfId="1" priority="15">
      <formula>LEN(TRIM(E4))=0</formula>
    </cfRule>
  </conditionalFormatting>
  <conditionalFormatting sqref="G29:G33">
    <cfRule type="containsBlanks" dxfId="0" priority="2">
      <formula>LEN(TRIM(G29))=0</formula>
    </cfRule>
  </conditionalFormatting>
  <dataValidations disablePrompts="1" count="2">
    <dataValidation type="list" allowBlank="1" showInputMessage="1" showErrorMessage="1" sqref="C22" xr:uid="{B6E9FFE5-BFA5-4858-88BE-381E3175A48C}">
      <formula1>"P/FCFF, P/S, P/D"</formula1>
    </dataValidation>
    <dataValidation type="list" allowBlank="1" showInputMessage="1" showErrorMessage="1" sqref="B8" xr:uid="{2C6973E3-4A73-4B2B-9055-BF048B4B0CE8}">
      <formula1>"Reinvestment, Payout"</formula1>
    </dataValidation>
  </dataValidation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D18" sqref="D1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139</v>
      </c>
      <c r="C2" s="90"/>
      <c r="D2" s="12"/>
      <c r="E2" s="12"/>
      <c r="G2" s="70" t="s">
        <v>128</v>
      </c>
    </row>
    <row r="3" spans="1:7" ht="14">
      <c r="B3" s="6" t="s">
        <v>246</v>
      </c>
      <c r="C3" s="91"/>
      <c r="D3" s="89">
        <f>IF(E3="Strongly disagree",0,IF(E3="disagree",1,IF(E3="unclear",2,IF(E3="agree",3,4))))</f>
        <v>2</v>
      </c>
      <c r="E3" s="30" t="s">
        <v>140</v>
      </c>
      <c r="G3" s="77" t="s">
        <v>270</v>
      </c>
    </row>
    <row r="4" spans="1:7" ht="14">
      <c r="B4" s="6" t="s">
        <v>248</v>
      </c>
      <c r="C4" s="91"/>
      <c r="D4" s="89">
        <f t="shared" ref="D4" si="0">IF(E4="Strongly disagree",0,IF(E4="disagree",1,IF(E4="unclear",2,IF(E4="agree",3,4))))</f>
        <v>0</v>
      </c>
      <c r="E4" s="30" t="s">
        <v>163</v>
      </c>
      <c r="G4" s="75"/>
    </row>
    <row r="5" spans="1:7" ht="14">
      <c r="B5" s="6" t="s">
        <v>243</v>
      </c>
      <c r="C5" s="91"/>
      <c r="D5" s="89">
        <f>AVERAGE(D12:D16)</f>
        <v>2</v>
      </c>
      <c r="E5" s="97" t="str">
        <f>IF(D5&gt;=3.5,"Strongly agree",IF(D5&gt;=2.5,"agree",IF(D5&gt;=1.5,"unclear",IF(D5&gt;=0.5,"disagree","Strongly disagree"))))</f>
        <v>unclear</v>
      </c>
      <c r="G5" s="75"/>
    </row>
    <row r="6" spans="1:7" ht="14">
      <c r="B6" s="6" t="s">
        <v>244</v>
      </c>
      <c r="C6" s="91"/>
      <c r="D6" s="89">
        <f>AVERAGE(D24:D28)</f>
        <v>1.6</v>
      </c>
      <c r="E6" s="97" t="str">
        <f>IF(D6&gt;=3.5,"Strongly agree",IF(D6&gt;=2.5,"agree",IF(D6&gt;=1.5,"unclear",IF(D6&gt;=0.5,"disagree","Strongly disagree"))))</f>
        <v>unclear</v>
      </c>
      <c r="G6" s="75"/>
    </row>
    <row r="7" spans="1:7" ht="14">
      <c r="B7" s="6" t="s">
        <v>245</v>
      </c>
      <c r="C7" s="91"/>
      <c r="D7" s="95">
        <f>IF(E7="Strongly disagree",0,IF(E7="disagree",1,IF(E7="unclear",2,IF(E7="agree",3,4))))</f>
        <v>2</v>
      </c>
      <c r="E7" s="96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2" t="s">
        <v>142</v>
      </c>
      <c r="C8" s="91"/>
      <c r="D8" s="89">
        <f>AVERAGE(D3:D7)</f>
        <v>1.52</v>
      </c>
      <c r="E8" s="93">
        <f>D8/4</f>
        <v>0.38</v>
      </c>
      <c r="G8" s="75"/>
    </row>
    <row r="9" spans="1:7" ht="14">
      <c r="B9" s="91"/>
      <c r="C9" s="91"/>
      <c r="E9" s="6"/>
      <c r="G9" s="75"/>
    </row>
    <row r="10" spans="1:7" ht="15" customHeight="1">
      <c r="A10" s="4"/>
      <c r="B10" s="11" t="s">
        <v>143</v>
      </c>
      <c r="C10" s="20"/>
      <c r="D10" s="20"/>
      <c r="E10" s="12"/>
      <c r="G10" s="263"/>
    </row>
    <row r="11" spans="1:7" ht="15" customHeight="1">
      <c r="B11" s="94" t="s">
        <v>144</v>
      </c>
      <c r="C11" s="88"/>
      <c r="E11" s="6"/>
      <c r="G11" s="263"/>
    </row>
    <row r="12" spans="1:7" ht="15" customHeight="1">
      <c r="B12" s="52" t="s">
        <v>247</v>
      </c>
      <c r="D12" s="95">
        <f>IF(E12="Strongly disagree",0,IF(E12="disagree",1,IF(E12="unclear",2,IF(E12="agree",3,4))))</f>
        <v>1</v>
      </c>
      <c r="E12" s="30" t="s">
        <v>148</v>
      </c>
      <c r="F12" s="6"/>
      <c r="G12" s="263"/>
    </row>
    <row r="13" spans="1:7" ht="15" customHeight="1">
      <c r="B13" s="52" t="s">
        <v>145</v>
      </c>
      <c r="D13" s="95">
        <f>IF(E13="Strongly disagree",0,IF(E13="disagree",1,IF(E13="unclear",2,IF(E13="agree",3,4))))</f>
        <v>4</v>
      </c>
      <c r="E13" s="30" t="s">
        <v>150</v>
      </c>
      <c r="F13" s="6"/>
      <c r="G13" s="263"/>
    </row>
    <row r="14" spans="1:7" ht="15" customHeight="1">
      <c r="B14" s="52" t="s">
        <v>146</v>
      </c>
      <c r="D14" s="95">
        <f>IF(E14="Strongly disagree",0,IF(E14="disagree",1,IF(E14="unclear",2,IF(E14="agree",3,4))))</f>
        <v>3</v>
      </c>
      <c r="E14" s="30" t="s">
        <v>141</v>
      </c>
      <c r="F14" s="6"/>
      <c r="G14" s="263"/>
    </row>
    <row r="15" spans="1:7" ht="15" customHeight="1">
      <c r="B15" s="52" t="s">
        <v>147</v>
      </c>
      <c r="D15" s="95">
        <f>IF(E15="Strongly disagree",0,IF(E15="disagree",1,IF(E15="unclear",2,IF(E15="agree",3,4))))</f>
        <v>0</v>
      </c>
      <c r="E15" s="30" t="s">
        <v>163</v>
      </c>
      <c r="F15" s="6"/>
      <c r="G15" s="263"/>
    </row>
    <row r="16" spans="1:7" ht="15" customHeight="1">
      <c r="B16" s="52" t="s">
        <v>149</v>
      </c>
      <c r="D16" s="95">
        <f>IF(E16="Strongly disagree",0,IF(E16="disagree",1,IF(E16="unclear",2,IF(E16="agree",3,4))))</f>
        <v>2</v>
      </c>
      <c r="E16" s="30" t="s">
        <v>140</v>
      </c>
      <c r="F16" s="6"/>
      <c r="G16" s="263"/>
    </row>
    <row r="17" spans="2:7" ht="15" customHeight="1">
      <c r="B17" s="94" t="s">
        <v>151</v>
      </c>
      <c r="D17" s="37"/>
      <c r="E17" s="23"/>
      <c r="G17" s="263"/>
    </row>
    <row r="18" spans="2:7" ht="15" customHeight="1">
      <c r="B18" s="52" t="s">
        <v>267</v>
      </c>
      <c r="D18" s="95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3"/>
    </row>
    <row r="19" spans="2:7" ht="15" customHeight="1">
      <c r="B19" s="52" t="s">
        <v>152</v>
      </c>
      <c r="D19" s="95">
        <f t="shared" ref="D19:D22" si="1">IF(E19="Strongly disagree",0,IF(E19="disagree",1,IF(E19="unclear",2,IF(E19="agree",3,4))))</f>
        <v>3</v>
      </c>
      <c r="E19" s="30" t="s">
        <v>141</v>
      </c>
      <c r="F19" s="6"/>
      <c r="G19" s="263" t="s">
        <v>358</v>
      </c>
    </row>
    <row r="20" spans="2:7" ht="15" customHeight="1">
      <c r="B20" s="52" t="s">
        <v>153</v>
      </c>
      <c r="D20" s="95">
        <f t="shared" si="1"/>
        <v>0</v>
      </c>
      <c r="E20" s="30" t="s">
        <v>163</v>
      </c>
      <c r="F20" s="6"/>
      <c r="G20" s="263"/>
    </row>
    <row r="21" spans="2:7" ht="15" customHeight="1">
      <c r="B21" s="52" t="s">
        <v>154</v>
      </c>
      <c r="D21" s="95">
        <f t="shared" si="1"/>
        <v>2</v>
      </c>
      <c r="E21" s="30" t="s">
        <v>140</v>
      </c>
      <c r="F21" s="6"/>
      <c r="G21" s="263"/>
    </row>
    <row r="22" spans="2:7" ht="15" customHeight="1">
      <c r="B22" s="52" t="s">
        <v>155</v>
      </c>
      <c r="D22" s="95">
        <f t="shared" si="1"/>
        <v>1</v>
      </c>
      <c r="E22" s="30" t="s">
        <v>148</v>
      </c>
      <c r="F22" s="6"/>
      <c r="G22" s="263"/>
    </row>
    <row r="23" spans="2:7" ht="15" customHeight="1">
      <c r="B23" s="94" t="s">
        <v>156</v>
      </c>
      <c r="D23" s="37"/>
      <c r="E23" s="23"/>
      <c r="G23" s="263"/>
    </row>
    <row r="24" spans="2:7" ht="15" customHeight="1">
      <c r="B24" s="52" t="s">
        <v>157</v>
      </c>
      <c r="D24" s="95">
        <f t="shared" ref="D24:D28" si="2">IF(E24="Strongly disagree",0,IF(E24="disagree",1,IF(E24="unclear",2,IF(E24="agree",3,4))))</f>
        <v>0</v>
      </c>
      <c r="E24" s="30" t="s">
        <v>163</v>
      </c>
      <c r="F24" s="6"/>
      <c r="G24" s="263"/>
    </row>
    <row r="25" spans="2:7" ht="15" customHeight="1">
      <c r="B25" s="52" t="s">
        <v>158</v>
      </c>
      <c r="D25" s="95">
        <f t="shared" si="2"/>
        <v>2</v>
      </c>
      <c r="E25" s="30" t="s">
        <v>140</v>
      </c>
      <c r="F25" s="6"/>
      <c r="G25" s="263"/>
    </row>
    <row r="26" spans="2:7" ht="15" customHeight="1">
      <c r="B26" s="52" t="s">
        <v>249</v>
      </c>
      <c r="D26" s="95">
        <f t="shared" si="2"/>
        <v>2</v>
      </c>
      <c r="E26" s="30" t="s">
        <v>140</v>
      </c>
      <c r="F26" s="6"/>
      <c r="G26" s="263"/>
    </row>
    <row r="27" spans="2:7" ht="15" customHeight="1">
      <c r="B27" s="52" t="s">
        <v>250</v>
      </c>
      <c r="D27" s="95">
        <f t="shared" si="2"/>
        <v>3</v>
      </c>
      <c r="E27" s="30" t="s">
        <v>141</v>
      </c>
      <c r="F27" s="6"/>
      <c r="G27" s="263"/>
    </row>
    <row r="28" spans="2:7" ht="15" customHeight="1">
      <c r="B28" s="52" t="s">
        <v>159</v>
      </c>
      <c r="D28" s="95">
        <f t="shared" si="2"/>
        <v>1</v>
      </c>
      <c r="E28" s="30" t="s">
        <v>148</v>
      </c>
      <c r="F28" s="6"/>
      <c r="G28" s="263"/>
    </row>
    <row r="29" spans="2:7" ht="15" customHeight="1">
      <c r="B29" s="94" t="s">
        <v>160</v>
      </c>
      <c r="D29" s="37"/>
      <c r="E29" s="23"/>
      <c r="G29" s="263"/>
    </row>
    <row r="30" spans="2:7" ht="15" customHeight="1">
      <c r="B30" s="1" t="s">
        <v>161</v>
      </c>
      <c r="D30" s="98">
        <f>SUM(D31:D35)/(5*4)</f>
        <v>0.35</v>
      </c>
      <c r="E30" s="48" t="str">
        <f>IF(D30&gt;80%,"Very High",IF(D30&lt;=20%,"Very Low",IF(D30&lt;=40%,"Low",IF(D30&lt;=60%,"Medium","High"))))</f>
        <v>Low</v>
      </c>
      <c r="F30" s="6"/>
      <c r="G30" s="263"/>
    </row>
    <row r="31" spans="2:7" ht="15" customHeight="1">
      <c r="B31" s="52" t="s">
        <v>162</v>
      </c>
      <c r="D31" s="95">
        <f t="shared" ref="D31:D35" si="3">IF(E31="Strongly disagree",0,IF(E31="disagree",1,IF(E31="unclear",2,IF(E31="agree",3,4))))</f>
        <v>0</v>
      </c>
      <c r="E31" s="30" t="s">
        <v>163</v>
      </c>
      <c r="F31" s="6"/>
      <c r="G31" s="263"/>
    </row>
    <row r="32" spans="2:7" ht="15" customHeight="1">
      <c r="B32" s="52" t="s">
        <v>251</v>
      </c>
      <c r="D32" s="95">
        <f t="shared" si="3"/>
        <v>2</v>
      </c>
      <c r="E32" s="30" t="s">
        <v>140</v>
      </c>
      <c r="F32" s="6"/>
      <c r="G32" s="263"/>
    </row>
    <row r="33" spans="2:7" ht="15" customHeight="1">
      <c r="B33" s="52" t="s">
        <v>252</v>
      </c>
      <c r="D33" s="95">
        <f t="shared" si="3"/>
        <v>0</v>
      </c>
      <c r="E33" s="30" t="s">
        <v>163</v>
      </c>
      <c r="F33" s="6"/>
      <c r="G33" s="263"/>
    </row>
    <row r="34" spans="2:7" ht="15" customHeight="1">
      <c r="B34" s="52" t="s">
        <v>253</v>
      </c>
      <c r="D34" s="95">
        <f t="shared" si="3"/>
        <v>2</v>
      </c>
      <c r="E34" s="30" t="s">
        <v>140</v>
      </c>
      <c r="F34" s="6"/>
      <c r="G34" s="263"/>
    </row>
    <row r="35" spans="2:7" ht="15" customHeight="1">
      <c r="B35" s="52" t="s">
        <v>269</v>
      </c>
      <c r="D35" s="95">
        <f t="shared" si="3"/>
        <v>3</v>
      </c>
      <c r="E35" s="30" t="s">
        <v>141</v>
      </c>
      <c r="G35" s="263"/>
    </row>
    <row r="36" spans="2:7" ht="15" customHeight="1">
      <c r="B36" s="1" t="s">
        <v>164</v>
      </c>
      <c r="D36" s="98">
        <f>SUM(D37:D41)/(5*4)</f>
        <v>0.8</v>
      </c>
      <c r="E36" s="48" t="str">
        <f>IF(D36&gt;80%,"Very High",IF(D36&lt;=20%,"Very Low",IF(D36&lt;=40%,"Low",IF(D36&lt;=60%,"Medium","High"))))</f>
        <v>High</v>
      </c>
      <c r="F36" s="6"/>
      <c r="G36" s="263"/>
    </row>
    <row r="37" spans="2:7" ht="15" customHeight="1">
      <c r="B37" s="52" t="s">
        <v>165</v>
      </c>
      <c r="D37" s="95">
        <f t="shared" ref="D37:D41" si="4">IF(E37="Strongly disagree",0,IF(E37="disagree",1,IF(E37="unclear",2,IF(E37="agree",3,4))))</f>
        <v>4</v>
      </c>
      <c r="E37" s="30" t="s">
        <v>150</v>
      </c>
      <c r="F37" s="6"/>
      <c r="G37" s="263"/>
    </row>
    <row r="38" spans="2:7" ht="15" customHeight="1">
      <c r="B38" s="52" t="s">
        <v>254</v>
      </c>
      <c r="D38" s="95">
        <f t="shared" si="4"/>
        <v>4</v>
      </c>
      <c r="E38" s="30" t="s">
        <v>150</v>
      </c>
      <c r="F38" s="6"/>
      <c r="G38" s="263"/>
    </row>
    <row r="39" spans="2:7" ht="15" customHeight="1">
      <c r="B39" s="52" t="s">
        <v>255</v>
      </c>
      <c r="D39" s="95">
        <f t="shared" si="4"/>
        <v>4</v>
      </c>
      <c r="E39" s="30" t="s">
        <v>150</v>
      </c>
      <c r="F39" s="6"/>
      <c r="G39" s="263"/>
    </row>
    <row r="40" spans="2:7" ht="15" customHeight="1">
      <c r="B40" s="52" t="s">
        <v>256</v>
      </c>
      <c r="D40" s="95">
        <f t="shared" si="4"/>
        <v>4</v>
      </c>
      <c r="E40" s="30" t="s">
        <v>150</v>
      </c>
      <c r="F40" s="6"/>
      <c r="G40" s="263"/>
    </row>
    <row r="41" spans="2:7" ht="15" customHeight="1">
      <c r="B41" s="52" t="s">
        <v>257</v>
      </c>
      <c r="D41" s="95">
        <f t="shared" si="4"/>
        <v>0</v>
      </c>
      <c r="E41" s="30" t="s">
        <v>163</v>
      </c>
      <c r="G41" s="263"/>
    </row>
    <row r="42" spans="2:7" ht="15" customHeight="1">
      <c r="B42" s="1" t="s">
        <v>166</v>
      </c>
      <c r="D42" s="98">
        <f>SUM(D43:D48)/(6*4)</f>
        <v>0.33333333333333331</v>
      </c>
      <c r="E42" s="48" t="str">
        <f>IF(D42&gt;80%,"Very High",IF(D42&lt;=20%,"Very Low",IF(D42&lt;=40%,"Low",IF(D42&lt;=60%,"Medium","High"))))</f>
        <v>Low</v>
      </c>
      <c r="F42" s="6"/>
      <c r="G42" s="263"/>
    </row>
    <row r="43" spans="2:7" ht="15" customHeight="1">
      <c r="B43" s="52" t="s">
        <v>167</v>
      </c>
      <c r="D43" s="95">
        <f t="shared" ref="D43:D48" si="5">IF(E43="Strongly disagree",0,IF(E43="disagree",1,IF(E43="unclear",2,IF(E43="agree",3,4))))</f>
        <v>3</v>
      </c>
      <c r="E43" s="30" t="s">
        <v>141</v>
      </c>
      <c r="F43" s="6"/>
      <c r="G43" s="263"/>
    </row>
    <row r="44" spans="2:7" ht="15" customHeight="1">
      <c r="B44" s="52" t="s">
        <v>168</v>
      </c>
      <c r="D44" s="95">
        <f t="shared" si="5"/>
        <v>1</v>
      </c>
      <c r="E44" s="30" t="s">
        <v>148</v>
      </c>
      <c r="F44" s="6"/>
      <c r="G44" s="263"/>
    </row>
    <row r="45" spans="2:7" ht="15" customHeight="1">
      <c r="B45" s="52" t="s">
        <v>169</v>
      </c>
      <c r="D45" s="95">
        <f t="shared" si="5"/>
        <v>1</v>
      </c>
      <c r="E45" s="30" t="s">
        <v>148</v>
      </c>
      <c r="F45" s="6"/>
      <c r="G45" s="263"/>
    </row>
    <row r="46" spans="2:7" ht="15" customHeight="1">
      <c r="B46" s="52" t="s">
        <v>170</v>
      </c>
      <c r="D46" s="95">
        <f t="shared" si="5"/>
        <v>0</v>
      </c>
      <c r="E46" s="30" t="s">
        <v>163</v>
      </c>
      <c r="F46" s="6"/>
      <c r="G46" s="263"/>
    </row>
    <row r="47" spans="2:7" ht="15" customHeight="1">
      <c r="B47" s="52" t="s">
        <v>171</v>
      </c>
      <c r="D47" s="95">
        <f t="shared" si="5"/>
        <v>3</v>
      </c>
      <c r="E47" s="30" t="s">
        <v>141</v>
      </c>
      <c r="F47" s="6"/>
      <c r="G47" s="263"/>
    </row>
    <row r="48" spans="2:7" ht="15" customHeight="1">
      <c r="B48" s="52" t="s">
        <v>197</v>
      </c>
      <c r="D48" s="95">
        <f t="shared" si="5"/>
        <v>0</v>
      </c>
      <c r="E48" s="30" t="s">
        <v>163</v>
      </c>
      <c r="F48" s="6"/>
      <c r="G48" s="263"/>
    </row>
    <row r="49" spans="2:8" ht="15" customHeight="1">
      <c r="B49" s="1" t="s">
        <v>172</v>
      </c>
      <c r="D49" s="98">
        <f>SUM(D50:D54)/(5*4)</f>
        <v>0.34523809523809523</v>
      </c>
      <c r="E49" s="48" t="str">
        <f>IF(D49&gt;80%,"Very High",IF(D49&lt;=20%,"Very Low",IF(D49&lt;=40%,"Low",IF(D49&lt;=60%,"Medium","High"))))</f>
        <v>Low</v>
      </c>
      <c r="F49" s="6"/>
      <c r="G49" s="263"/>
    </row>
    <row r="50" spans="2:8" ht="15" customHeight="1">
      <c r="B50" s="52" t="s">
        <v>173</v>
      </c>
      <c r="D50" s="95">
        <f t="shared" ref="D50:D52" si="6">IF(E50="Strongly disagree",0,IF(E50="disagree",1,IF(E50="unclear",2,IF(E50="agree",3,4))))</f>
        <v>0</v>
      </c>
      <c r="E50" s="30" t="s">
        <v>163</v>
      </c>
      <c r="G50" s="263"/>
    </row>
    <row r="51" spans="2:8" ht="15" customHeight="1">
      <c r="B51" s="52" t="s">
        <v>174</v>
      </c>
      <c r="D51" s="95">
        <f t="shared" si="6"/>
        <v>0</v>
      </c>
      <c r="E51" s="30" t="s">
        <v>163</v>
      </c>
      <c r="F51" s="6"/>
      <c r="G51" s="263"/>
    </row>
    <row r="52" spans="2:8" ht="15" customHeight="1">
      <c r="B52" s="52" t="s">
        <v>258</v>
      </c>
      <c r="D52" s="95">
        <f t="shared" si="6"/>
        <v>2</v>
      </c>
      <c r="E52" s="30" t="s">
        <v>140</v>
      </c>
      <c r="G52" s="263"/>
    </row>
    <row r="53" spans="2:8" ht="15" customHeight="1">
      <c r="B53" s="52" t="s">
        <v>259</v>
      </c>
      <c r="D53" s="95">
        <f>IF(E53="Strongly disagree",0,IF(E53="disagree",1,IF(E53="unclear",2,IF(E53="agree",3,4))))</f>
        <v>3</v>
      </c>
      <c r="E53" s="30" t="s">
        <v>141</v>
      </c>
      <c r="F53" s="52"/>
      <c r="G53" s="263"/>
      <c r="H53" s="52"/>
    </row>
    <row r="54" spans="2:8" ht="15" customHeight="1">
      <c r="B54" s="52" t="s">
        <v>260</v>
      </c>
      <c r="D54" s="99">
        <f t="array" ref="D54">(1-INDEX(B68:E77,MATCH(E54,B68:B77,0),4))*4</f>
        <v>1.9047619047619047</v>
      </c>
      <c r="E54" s="30" t="s">
        <v>359</v>
      </c>
      <c r="F54" s="52"/>
      <c r="G54" s="263"/>
      <c r="H54" s="52"/>
    </row>
    <row r="55" spans="2:8" ht="15" customHeight="1">
      <c r="B55" s="1" t="s">
        <v>175</v>
      </c>
      <c r="D55" s="100">
        <f>SUM(D56:D61)/(6*4)</f>
        <v>0.5</v>
      </c>
      <c r="E55" s="48" t="str">
        <f>IF(D55&gt;80%,"Very High",IF(D55&lt;=20%,"Very Low",IF(D55&lt;=40%,"Low",IF(D55&lt;=60%,"Medium","High"))))</f>
        <v>Medium</v>
      </c>
      <c r="F55" s="52"/>
      <c r="G55" s="263"/>
      <c r="H55" s="52"/>
    </row>
    <row r="56" spans="2:8" ht="15" customHeight="1">
      <c r="B56" s="52" t="s">
        <v>176</v>
      </c>
      <c r="D56" s="95">
        <f t="shared" ref="D56:D60" si="7">IF(E56="Strongly disagree",0,IF(E56="disagree",1,IF(E56="unclear",2,IF(E56="agree",3,4))))</f>
        <v>1</v>
      </c>
      <c r="E56" s="30" t="s">
        <v>148</v>
      </c>
      <c r="F56" s="52"/>
      <c r="G56" s="263"/>
      <c r="H56" s="52"/>
    </row>
    <row r="57" spans="2:8" ht="15" customHeight="1">
      <c r="B57" s="52" t="s">
        <v>177</v>
      </c>
      <c r="D57" s="95">
        <f t="shared" si="7"/>
        <v>0</v>
      </c>
      <c r="E57" s="30" t="s">
        <v>163</v>
      </c>
      <c r="F57" s="52"/>
      <c r="G57" s="263"/>
      <c r="H57" s="52"/>
    </row>
    <row r="58" spans="2:8" ht="15" customHeight="1">
      <c r="B58" s="52" t="s">
        <v>198</v>
      </c>
      <c r="D58" s="95">
        <f t="shared" si="7"/>
        <v>1</v>
      </c>
      <c r="E58" s="30" t="s">
        <v>148</v>
      </c>
      <c r="F58" s="52"/>
      <c r="G58" s="263"/>
      <c r="H58" s="52"/>
    </row>
    <row r="59" spans="2:8" ht="15" customHeight="1">
      <c r="B59" s="52" t="s">
        <v>199</v>
      </c>
      <c r="D59" s="95">
        <f t="shared" si="7"/>
        <v>4</v>
      </c>
      <c r="E59" s="30" t="s">
        <v>150</v>
      </c>
      <c r="F59" s="52"/>
      <c r="G59" s="263"/>
      <c r="H59" s="52"/>
    </row>
    <row r="60" spans="2:8" ht="15" customHeight="1">
      <c r="B60" s="52" t="s">
        <v>200</v>
      </c>
      <c r="D60" s="95">
        <f t="shared" si="7"/>
        <v>4</v>
      </c>
      <c r="E60" s="30" t="s">
        <v>150</v>
      </c>
      <c r="F60" s="52"/>
      <c r="G60" s="263"/>
      <c r="H60" s="52"/>
    </row>
    <row r="61" spans="2:8" ht="15" customHeight="1">
      <c r="B61" s="52" t="s">
        <v>201</v>
      </c>
      <c r="D61" s="95">
        <f>IF(E61="Strongly disagree",0,IF(E61="disagree",1,IF(E61="non-perishable",2,IF(E61="agree",3,4))))</f>
        <v>2</v>
      </c>
      <c r="E61" s="30" t="s">
        <v>315</v>
      </c>
      <c r="F61" s="52"/>
      <c r="G61" s="263"/>
      <c r="H61" s="52"/>
    </row>
    <row r="62" spans="2:8" ht="15" customHeight="1">
      <c r="B62" s="138" t="s">
        <v>178</v>
      </c>
      <c r="D62" s="119">
        <f>1-AVERAGE(D30,D36,D42,D49,D55)</f>
        <v>0.53428571428571436</v>
      </c>
      <c r="E62" s="48" t="str">
        <f>IF(D62&gt;80%,"Very Low",IF(D62&lt;=20%,"Very High",IF(D62&lt;=40%,"High",IF(D62&lt;=60%,"Medium","Low"))))</f>
        <v>Medium</v>
      </c>
      <c r="F62" s="52"/>
      <c r="G62" s="263"/>
      <c r="H62" s="52"/>
    </row>
    <row r="63" spans="2:8" ht="15" customHeight="1">
      <c r="D63" s="6"/>
      <c r="G63" s="263"/>
    </row>
    <row r="64" spans="2:8" ht="15" customHeight="1">
      <c r="B64" s="92" t="s">
        <v>179</v>
      </c>
      <c r="D64" s="89">
        <f>E64*4</f>
        <v>1.9342857142857142</v>
      </c>
      <c r="E64" s="118">
        <f>AVERAGE(AVERAGE(D12:D16)/4,AVERAGE(D18:D22)/4,AVERAGE(D24:D28)/4,D62)</f>
        <v>0.48357142857142854</v>
      </c>
      <c r="G64" s="263"/>
    </row>
    <row r="65" spans="2:7" ht="15" customHeight="1">
      <c r="G65" s="264"/>
    </row>
    <row r="66" spans="2:7" ht="15" customHeight="1">
      <c r="B66" s="53" t="s">
        <v>180</v>
      </c>
      <c r="C66" s="7"/>
      <c r="D66" s="7"/>
      <c r="E66" s="54"/>
    </row>
    <row r="67" spans="2:7" ht="15" customHeight="1">
      <c r="B67" s="101" t="s">
        <v>181</v>
      </c>
      <c r="C67" s="102"/>
      <c r="D67" s="102"/>
      <c r="E67" s="103"/>
    </row>
    <row r="68" spans="2:7" ht="15" customHeight="1">
      <c r="B68" s="104" t="s">
        <v>182</v>
      </c>
      <c r="C68" s="102"/>
      <c r="D68" s="102">
        <v>1</v>
      </c>
      <c r="E68" s="105">
        <f t="shared" ref="E68:E76" si="8">D68/MAX($D$68:$D$77)</f>
        <v>3.4013605442176874E-2</v>
      </c>
    </row>
    <row r="69" spans="2:7" ht="15" customHeight="1">
      <c r="B69" s="104" t="str">
        <f t="shared" ref="B69:B77" si="9">C69&amp;", "&amp;D69&amp;"y"</f>
        <v>Information Technology Like, 6.6y</v>
      </c>
      <c r="C69" s="102" t="s">
        <v>183</v>
      </c>
      <c r="D69" s="102">
        <v>6.6</v>
      </c>
      <c r="E69" s="105">
        <f t="shared" si="8"/>
        <v>0.22448979591836735</v>
      </c>
    </row>
    <row r="70" spans="2:7" ht="15" customHeight="1">
      <c r="B70" s="104" t="str">
        <f t="shared" si="9"/>
        <v>Healthcare, 11.4y</v>
      </c>
      <c r="C70" s="102" t="s">
        <v>184</v>
      </c>
      <c r="D70" s="102">
        <v>11.4</v>
      </c>
      <c r="E70" s="105">
        <f t="shared" si="8"/>
        <v>0.38775510204081637</v>
      </c>
    </row>
    <row r="71" spans="2:7" ht="15" customHeight="1">
      <c r="B71" s="104" t="str">
        <f t="shared" si="9"/>
        <v>Consumer Discretionary, 12.4y</v>
      </c>
      <c r="C71" s="102" t="s">
        <v>185</v>
      </c>
      <c r="D71" s="102">
        <v>12.4</v>
      </c>
      <c r="E71" s="105">
        <f t="shared" si="8"/>
        <v>0.42176870748299322</v>
      </c>
    </row>
    <row r="72" spans="2:7" ht="15" customHeight="1">
      <c r="B72" s="104" t="str">
        <f t="shared" si="9"/>
        <v>Consumer Staples, 15.1y</v>
      </c>
      <c r="C72" s="102" t="s">
        <v>186</v>
      </c>
      <c r="D72" s="102">
        <v>15.1</v>
      </c>
      <c r="E72" s="105">
        <f t="shared" si="8"/>
        <v>0.51360544217687076</v>
      </c>
    </row>
    <row r="73" spans="2:7" ht="15" customHeight="1">
      <c r="B73" s="104" t="str">
        <f t="shared" si="9"/>
        <v>Industrials, 15.4y</v>
      </c>
      <c r="C73" s="102" t="s">
        <v>187</v>
      </c>
      <c r="D73" s="102">
        <v>15.4</v>
      </c>
      <c r="E73" s="105">
        <f t="shared" si="8"/>
        <v>0.52380952380952384</v>
      </c>
    </row>
    <row r="74" spans="2:7" ht="15" customHeight="1">
      <c r="B74" s="104" t="str">
        <f t="shared" si="9"/>
        <v>Telecommunication Services, 16.1y</v>
      </c>
      <c r="C74" s="102" t="s">
        <v>188</v>
      </c>
      <c r="D74" s="102">
        <v>16.100000000000001</v>
      </c>
      <c r="E74" s="105">
        <f t="shared" si="8"/>
        <v>0.54761904761904767</v>
      </c>
    </row>
    <row r="75" spans="2:7" ht="15" customHeight="1">
      <c r="B75" s="104" t="str">
        <f t="shared" si="9"/>
        <v>Energy, 17.6y</v>
      </c>
      <c r="C75" s="102" t="s">
        <v>189</v>
      </c>
      <c r="D75" s="102">
        <v>17.600000000000001</v>
      </c>
      <c r="E75" s="105">
        <f t="shared" si="8"/>
        <v>0.59863945578231303</v>
      </c>
    </row>
    <row r="76" spans="2:7" ht="15" customHeight="1">
      <c r="B76" s="104" t="str">
        <f t="shared" si="9"/>
        <v>Materials, 18.6y</v>
      </c>
      <c r="C76" s="102" t="s">
        <v>190</v>
      </c>
      <c r="D76" s="102">
        <v>18.600000000000001</v>
      </c>
      <c r="E76" s="105">
        <f t="shared" si="8"/>
        <v>0.63265306122448983</v>
      </c>
    </row>
    <row r="77" spans="2:7" ht="15" customHeight="1">
      <c r="B77" s="106" t="str">
        <f t="shared" si="9"/>
        <v>Utilities, 29.4y</v>
      </c>
      <c r="C77" s="107" t="s">
        <v>191</v>
      </c>
      <c r="D77" s="107">
        <v>29.4</v>
      </c>
      <c r="E77" s="108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2023-08-15T10:20:14Z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