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BFFD852C-8495-49EA-A38A-9ED7891FC0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16" i="1" l="1"/>
  <c r="E26" i="1"/>
  <c r="C36" i="1"/>
  <c r="I7" i="3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l="1"/>
  <c r="H14" i="1" s="1"/>
  <c r="D30" i="4"/>
  <c r="D14" i="1"/>
  <c r="F14" i="1"/>
  <c r="E33" i="4" l="1"/>
  <c r="B17" i="1"/>
  <c r="D17" i="1" s="1"/>
  <c r="J25" i="1" s="1"/>
  <c r="F33" i="4"/>
  <c r="F17" i="1" l="1"/>
  <c r="J17" i="1"/>
  <c r="D18" i="1"/>
  <c r="D16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<sst xmlns="http://schemas.openxmlformats.org/spreadsheetml/2006/main" count="394" uniqueCount="332">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</sst>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4" zoomScaleNormal="100" workbookViewId="0">
      <selection activeCell="J25" sqref="J25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7" t="s">
        <v>303</v>
      </c>
      <c r="D3" s="388"/>
      <c r="E3" s="15"/>
      <c r="G3" s="7" t="s">
        <v>2</v>
      </c>
      <c r="I3" s="397" t="s">
        <v>3</v>
      </c>
      <c r="J3" s="398"/>
    </row>
    <row r="4" spans="1:12" ht="15.75" customHeight="1" x14ac:dyDescent="0.3">
      <c r="B4" s="5" t="s">
        <v>4</v>
      </c>
      <c r="C4" s="389" t="s">
        <v>304</v>
      </c>
      <c r="D4" s="390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1">
        <v>44987</v>
      </c>
      <c r="D5" s="390"/>
      <c r="E5" s="122" t="str">
        <f ca="1">IF(C5+30&gt;=TODAY(),"Patience Premium","")</f>
        <v>Patience Premium</v>
      </c>
      <c r="G5" s="5" t="s">
        <v>8</v>
      </c>
      <c r="I5" s="399">
        <v>7913203590</v>
      </c>
      <c r="J5" s="40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1">
        <f>I4*I5/1000000</f>
        <v>130567.859235</v>
      </c>
      <c r="J6" s="402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11">
        <f ca="1">C12-D10</f>
        <v>6.6799999999999998E-2</v>
      </c>
      <c r="D11" s="412"/>
      <c r="E11" s="13"/>
      <c r="G11" s="5" t="s">
        <v>15</v>
      </c>
      <c r="H11" s="6"/>
      <c r="I11" s="409" t="s">
        <v>305</v>
      </c>
      <c r="J11" s="410"/>
    </row>
    <row r="12" spans="1:12" ht="15.75" customHeight="1" thickTop="1" x14ac:dyDescent="0.3">
      <c r="B12" s="314" t="s">
        <v>145</v>
      </c>
      <c r="C12" s="365">
        <f ca="1">IF(C10="CN",8%,6%)*IF($C$5+30&gt;=TODAY(),1.2,1)</f>
        <v>9.6000000000000002E-2</v>
      </c>
      <c r="D12" s="366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75">
        <v>0.1</v>
      </c>
      <c r="D16" s="159">
        <f ca="1">IF(B17='FCFF Model'!G19,"Asset Play", H14/B16-1-C16)</f>
        <v>9.2824349864347816E-2</v>
      </c>
      <c r="E16" s="370">
        <f>'FCFF Model'!D11*Exchange_Rate</f>
        <v>0</v>
      </c>
      <c r="F16" s="161">
        <f>E16/B16</f>
        <v>0</v>
      </c>
      <c r="G16" s="378" t="s">
        <v>25</v>
      </c>
      <c r="H16" s="403">
        <f>('FCFF Model'!G19)*Exchange_Rate</f>
        <v>-2.308568405350901</v>
      </c>
      <c r="I16" s="378" t="s">
        <v>26</v>
      </c>
      <c r="J16" s="206">
        <f>B16-$H$16</f>
        <v>18.808568405350901</v>
      </c>
    </row>
    <row r="17" spans="1:10" ht="15.75" customHeight="1" x14ac:dyDescent="0.3">
      <c r="B17" s="290">
        <f ca="1">MAX(H14/(1+C16),'FCFF Model'!G19*Exchange_Rate)</f>
        <v>17.892365247965216</v>
      </c>
      <c r="C17" s="376"/>
      <c r="D17" s="289">
        <f ca="1">IF(B17='FCFF Model'!G19,"Asset Play",H14/B17-1-C16)</f>
        <v>8.3266726846886741E-17</v>
      </c>
      <c r="E17" s="371"/>
      <c r="F17" s="162">
        <f ca="1">E16/B17</f>
        <v>0</v>
      </c>
      <c r="G17" s="379"/>
      <c r="H17" s="404"/>
      <c r="I17" s="379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377"/>
      <c r="D18" s="160">
        <f ca="1">IF(B17='FCFF Model'!G19,"Asset Play", H14/B18-1-C16)</f>
        <v>0.21210678485078258</v>
      </c>
      <c r="E18" s="372"/>
      <c r="F18" s="163">
        <f>E16/B18</f>
        <v>0</v>
      </c>
      <c r="G18" s="380"/>
      <c r="H18" s="405"/>
      <c r="I18" s="380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306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4"/>
      <c r="D21" s="395"/>
      <c r="E21" s="395"/>
      <c r="F21" s="395"/>
      <c r="G21" s="395"/>
      <c r="H21" s="395"/>
      <c r="I21" s="395"/>
      <c r="J21" s="396"/>
    </row>
    <row r="22" spans="1:10" ht="52.5" customHeight="1" x14ac:dyDescent="0.3">
      <c r="A22" s="6"/>
      <c r="B22" s="24" t="s">
        <v>29</v>
      </c>
      <c r="C22" s="407"/>
      <c r="D22" s="408"/>
      <c r="E22" s="408"/>
      <c r="F22" s="408"/>
      <c r="G22" s="407"/>
      <c r="H22" s="407"/>
      <c r="I22" s="408"/>
      <c r="J22" s="408"/>
    </row>
    <row r="23" spans="1:10" ht="52.5" customHeight="1" x14ac:dyDescent="0.3">
      <c r="A23" s="6"/>
      <c r="B23" s="25" t="s">
        <v>30</v>
      </c>
      <c r="C23" s="373"/>
      <c r="D23" s="374"/>
      <c r="E23" s="374"/>
      <c r="F23" s="374"/>
      <c r="G23" s="373"/>
      <c r="H23" s="373"/>
      <c r="I23" s="374"/>
      <c r="J23" s="37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318</v>
      </c>
      <c r="G25" s="12"/>
      <c r="H25" s="354">
        <v>0.15</v>
      </c>
      <c r="I25" s="30" t="s">
        <v>319</v>
      </c>
      <c r="J25" s="355">
        <f ca="1">IF(D17="Asset Play", 'FCFF Model'!G19, H14/(H25+C16+1))</f>
        <v>15.745281418209391</v>
      </c>
    </row>
    <row r="26" spans="1:10" ht="15.75" customHeight="1" x14ac:dyDescent="0.3">
      <c r="B26" s="23" t="s">
        <v>33</v>
      </c>
      <c r="C26" s="392"/>
      <c r="D26" s="393"/>
      <c r="E26" s="384" t="str">
        <f>IF(C26="","","Action_Planning")</f>
        <v/>
      </c>
      <c r="F26" s="385"/>
      <c r="G26" s="385"/>
      <c r="H26" s="386"/>
      <c r="I26" s="406" t="s">
        <v>34</v>
      </c>
      <c r="J26" s="406"/>
    </row>
    <row r="27" spans="1:10" ht="15.75" customHeight="1" x14ac:dyDescent="0.3">
      <c r="B27" s="23" t="s">
        <v>35</v>
      </c>
      <c r="C27" s="369">
        <f>C31/D25</f>
        <v>5.5E-2</v>
      </c>
      <c r="D27" s="368"/>
      <c r="E27" s="367">
        <f>E31/D25</f>
        <v>0.1</v>
      </c>
      <c r="F27" s="368"/>
      <c r="G27" s="382">
        <f>G31/D25</f>
        <v>0</v>
      </c>
      <c r="H27" s="383"/>
      <c r="I27" s="381">
        <f>C27+E27+G27</f>
        <v>0.155</v>
      </c>
      <c r="J27" s="381"/>
    </row>
    <row r="28" spans="1:10" ht="15.75" customHeight="1" x14ac:dyDescent="0.3">
      <c r="B28" s="23" t="s">
        <v>36</v>
      </c>
      <c r="C28" s="359">
        <v>2000</v>
      </c>
      <c r="D28" s="408"/>
      <c r="E28" s="359">
        <v>4000</v>
      </c>
      <c r="F28" s="408"/>
      <c r="G28" s="399"/>
      <c r="H28" s="400"/>
      <c r="I28" s="423">
        <f>C28+E28+G28</f>
        <v>6000</v>
      </c>
      <c r="J28" s="423"/>
    </row>
    <row r="29" spans="1:10" ht="15.75" customHeight="1" x14ac:dyDescent="0.3">
      <c r="B29" s="23" t="s">
        <v>37</v>
      </c>
      <c r="C29" s="433">
        <v>16.5</v>
      </c>
      <c r="D29" s="408"/>
      <c r="E29" s="433">
        <v>15</v>
      </c>
      <c r="F29" s="408"/>
      <c r="G29" s="413"/>
      <c r="H29" s="414"/>
      <c r="I29" s="419"/>
      <c r="J29" s="419"/>
    </row>
    <row r="30" spans="1:10" ht="15.75" customHeight="1" x14ac:dyDescent="0.3">
      <c r="B30" s="23" t="s">
        <v>38</v>
      </c>
      <c r="C30" s="421">
        <f>C29*$I$5/1000000</f>
        <v>130567.859235</v>
      </c>
      <c r="D30" s="428"/>
      <c r="E30" s="421">
        <f>E29*$I$5/1000000</f>
        <v>118698.05385</v>
      </c>
      <c r="F30" s="428"/>
      <c r="G30" s="415">
        <f>G29*$I$5/1000000</f>
        <v>0</v>
      </c>
      <c r="H30" s="416"/>
      <c r="I30" s="420"/>
      <c r="J30" s="420"/>
    </row>
    <row r="31" spans="1:10" ht="15.75" customHeight="1" x14ac:dyDescent="0.3">
      <c r="B31" s="2" t="s">
        <v>39</v>
      </c>
      <c r="C31" s="429">
        <f>C28*C29</f>
        <v>33000</v>
      </c>
      <c r="D31" s="430"/>
      <c r="E31" s="422">
        <f>E28*E29</f>
        <v>60000</v>
      </c>
      <c r="F31" s="431"/>
      <c r="G31" s="417">
        <f>G28*G29</f>
        <v>0</v>
      </c>
      <c r="H31" s="418"/>
      <c r="I31" s="422">
        <f>C31+E31+G31</f>
        <v>93000</v>
      </c>
      <c r="J31" s="422"/>
    </row>
    <row r="32" spans="1:10" ht="15.75" customHeight="1" x14ac:dyDescent="0.3">
      <c r="B32" s="1" t="s">
        <v>40</v>
      </c>
      <c r="C32" s="424"/>
      <c r="D32" s="425"/>
      <c r="E32" s="432">
        <f>IF(C31=0,"-",(C31+E31)/(C28+E28))</f>
        <v>15.5</v>
      </c>
      <c r="F32" s="368"/>
      <c r="G32" s="117"/>
      <c r="H32" s="117"/>
      <c r="I32" s="432">
        <f>IF(I31=0,"",I31/I28)</f>
        <v>15.5</v>
      </c>
      <c r="J32" s="432"/>
    </row>
    <row r="33" spans="2:11" ht="15.75" customHeight="1" x14ac:dyDescent="0.3">
      <c r="B33" s="1" t="s">
        <v>41</v>
      </c>
      <c r="C33" s="426"/>
      <c r="D33" s="427"/>
      <c r="E33" s="421">
        <f>IF(E32="-","-",E32*$I$5/1000000)</f>
        <v>122654.65564500001</v>
      </c>
      <c r="F33" s="428"/>
      <c r="G33" s="118"/>
      <c r="H33" s="118"/>
      <c r="I33" s="421">
        <f>IF(I32="","",I32*$I$5/1000000)</f>
        <v>122654.65564500001</v>
      </c>
      <c r="J33" s="421"/>
    </row>
    <row r="34" spans="2:11" ht="15.75" customHeight="1" x14ac:dyDescent="0.3"/>
    <row r="35" spans="2:11" ht="15.75" customHeight="1" x14ac:dyDescent="0.3">
      <c r="B35" s="146" t="s">
        <v>320</v>
      </c>
      <c r="C35" s="357">
        <v>15</v>
      </c>
      <c r="D35" s="358"/>
      <c r="G35" s="363" t="s">
        <v>322</v>
      </c>
      <c r="H35" s="364"/>
      <c r="I35" s="357">
        <f ca="1">'FCFF Model'!C34*0.8</f>
        <v>32.908772587762407</v>
      </c>
      <c r="J35" s="358"/>
    </row>
    <row r="36" spans="2:11" ht="15.75" customHeight="1" x14ac:dyDescent="0.3">
      <c r="B36" s="146" t="s">
        <v>321</v>
      </c>
      <c r="C36" s="359">
        <f>E28</f>
        <v>4000</v>
      </c>
      <c r="D36" s="360"/>
    </row>
    <row r="37" spans="2:11" ht="15.75" customHeight="1" x14ac:dyDescent="0.3"/>
    <row r="38" spans="2:11" ht="15.75" customHeight="1" x14ac:dyDescent="0.3">
      <c r="J38" s="361"/>
      <c r="K38" s="362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3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</mergeCells>
  <conditionalFormatting sqref="I16">
    <cfRule type="cellIs" dxfId="18" priority="24" operator="lessThan">
      <formula>0</formula>
    </cfRule>
  </conditionalFormatting>
  <conditionalFormatting sqref="C26:E26 I26 C28:G29 I28:I29">
    <cfRule type="containsBlanks" priority="18">
      <formula>LEN(TRIM(C26))=0</formula>
    </cfRule>
  </conditionalFormatting>
  <conditionalFormatting sqref="D16 D18">
    <cfRule type="cellIs" dxfId="17" priority="14" operator="lessThan">
      <formula>0</formula>
    </cfRule>
  </conditionalFormatting>
  <conditionalFormatting sqref="H16">
    <cfRule type="cellIs" dxfId="16" priority="9" operator="greaterThan">
      <formula>$B$16</formula>
    </cfRule>
  </conditionalFormatting>
  <conditionalFormatting sqref="H14">
    <cfRule type="cellIs" dxfId="15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J38:K38">
    <cfRule type="containsBlanks" priority="3">
      <formula>LEN(TRIM(J38))=0</formula>
    </cfRule>
  </conditionalFormatting>
  <conditionalFormatting sqref="E26:H26">
    <cfRule type="containsBlanks" dxfId="14" priority="2">
      <formula>LEN(TRIM(E26))=0</formula>
    </cfRule>
  </conditionalFormatting>
  <conditionalFormatting sqref="B16">
    <cfRule type="cellIs" dxfId="13" priority="1" operator="lessThan">
      <formula>$B$18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323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324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325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326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327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328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4">
        <f>D53+D54+D55</f>
        <v>8694432</v>
      </c>
      <c r="E52" s="435"/>
      <c r="F52" s="53"/>
      <c r="G52" s="53"/>
    </row>
    <row r="53" spans="2:9" ht="14.5" thickTop="1" x14ac:dyDescent="0.3">
      <c r="B53" s="58" t="s">
        <v>231</v>
      </c>
      <c r="C53" s="6"/>
      <c r="D53" s="437">
        <f>SUM(I11:I13)+SUM(I28:I30)</f>
        <v>8694432</v>
      </c>
      <c r="E53" s="430"/>
      <c r="F53" s="5"/>
      <c r="G53" s="5"/>
      <c r="H53" s="3" t="s">
        <v>329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4">
        <v>0</v>
      </c>
      <c r="E54" s="408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4">
        <v>0</v>
      </c>
      <c r="E55" s="408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6"/>
      <c r="E57" s="436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2">
        <f>((Dashboard!I6*Data!C4)+D52+E50-C58-C59)</f>
        <v>128260855.23500001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40">
        <f>((C26-C11-C12-C14-C15-C16*G16-C19*G19-C20*G20)-I26)/Data!C7</f>
        <v>-0.64687443506582265</v>
      </c>
      <c r="E63" s="441"/>
    </row>
    <row r="64" spans="2:9" ht="15" customHeight="1" x14ac:dyDescent="0.3">
      <c r="B64" s="3" t="s">
        <v>262</v>
      </c>
      <c r="D64" s="438">
        <v>6.3399999999999998E-2</v>
      </c>
      <c r="E64" s="439"/>
      <c r="F64" s="266" t="s">
        <v>247</v>
      </c>
    </row>
    <row r="65" spans="2:5" ht="15" customHeight="1" x14ac:dyDescent="0.3">
      <c r="B65" s="292" t="s">
        <v>264</v>
      </c>
      <c r="D65" s="438">
        <f>D63</f>
        <v>-0.64687443506582265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307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308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7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7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1" t="s">
        <v>226</v>
      </c>
      <c r="F23" s="451"/>
      <c r="G23" s="451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48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9"/>
      <c r="G26" s="352">
        <f ca="1">$F$25+E26+$G$19</f>
        <v>3.447397142838577</v>
      </c>
      <c r="I26" s="74" t="s">
        <v>311</v>
      </c>
    </row>
    <row r="27" spans="1:9" ht="15.75" customHeight="1" x14ac:dyDescent="0.3">
      <c r="B27" s="302" t="s">
        <v>309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50"/>
      <c r="G27" s="207">
        <f ca="1">$F$25+E27+$G$19</f>
        <v>4.6649141873049986</v>
      </c>
      <c r="I27" s="74" t="s">
        <v>310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MAX(G26*Exchange_Rate, G19*Exchange_Rate)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5" t="s">
        <v>148</v>
      </c>
      <c r="D32" s="446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312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313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314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315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316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317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2023-03-17T09:07:09Z</dcterms:modified>
  <cp:category/>
  <cp:contentStatus/>
</cp:coreProperties>
</file>