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54BE1F1C-61EC-4080-9E87-D01C81FBA503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8" i="3" l="1"/>
  <c r="I7" i="3"/>
  <c r="I6" i="3"/>
  <c r="E26" i="1"/>
  <c r="C12" i="1"/>
  <c r="C35" i="1"/>
  <c r="B18" i="1" s="1"/>
  <c r="C36" i="1"/>
  <c r="E7" i="3"/>
  <c r="E6" i="1"/>
  <c r="J45" i="3" l="1"/>
  <c r="I44" i="3"/>
  <c r="J25" i="3"/>
  <c r="I24" i="3"/>
  <c r="E16" i="1" l="1"/>
  <c r="F15" i="4"/>
  <c r="E6" i="5"/>
  <c r="C11" i="4" l="1"/>
  <c r="E13" i="7"/>
  <c r="E14" i="7"/>
  <c r="C14" i="7"/>
  <c r="G8" i="7"/>
  <c r="E8" i="7"/>
  <c r="C8" i="7"/>
  <c r="E7" i="7"/>
  <c r="G7" i="7" s="1"/>
  <c r="E6" i="7"/>
  <c r="G6" i="7" s="1"/>
  <c r="G5" i="7"/>
  <c r="E5" i="7"/>
  <c r="G4" i="7"/>
  <c r="E4" i="7"/>
  <c r="D12" i="4" l="1"/>
  <c r="G33" i="4"/>
  <c r="D7" i="7" l="1"/>
  <c r="D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F5" i="7" l="1"/>
  <c r="F4" i="7"/>
  <c r="F6" i="7"/>
  <c r="F7" i="7"/>
  <c r="G16" i="3"/>
  <c r="I10" i="7" l="1"/>
  <c r="H7" i="7"/>
  <c r="H5" i="7"/>
  <c r="H6" i="7"/>
  <c r="H4" i="7"/>
  <c r="G14" i="7"/>
  <c r="G9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2" i="7" l="1"/>
  <c r="I17" i="7" l="1"/>
  <c r="I15" i="7" s="1"/>
  <c r="I4" i="3"/>
  <c r="D4" i="3"/>
  <c r="D6" i="1"/>
  <c r="E9" i="3"/>
  <c r="C3" i="7" l="1"/>
  <c r="C28" i="4"/>
  <c r="C3" i="4" l="1"/>
  <c r="E3" i="7"/>
  <c r="C15" i="4"/>
  <c r="B3" i="4"/>
  <c r="C17" i="4" s="1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1" i="7"/>
  <c r="C13" i="7"/>
  <c r="B3" i="7"/>
  <c r="C12" i="7"/>
  <c r="C17" i="7" s="1"/>
  <c r="C20" i="7" s="1"/>
  <c r="C4" i="4" s="1"/>
  <c r="E9" i="7"/>
  <c r="C7" i="4" l="1"/>
  <c r="C8" i="4"/>
  <c r="C9" i="4" s="1"/>
  <c r="C10" i="4" s="1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E10" i="7" l="1"/>
  <c r="E12" i="7" s="1"/>
  <c r="E17" i="7" s="1"/>
  <c r="E18" i="7" s="1"/>
  <c r="E20" i="7" s="1"/>
  <c r="G10" i="7"/>
  <c r="G12" i="7" s="1"/>
  <c r="G17" i="7" s="1"/>
  <c r="D52" i="3"/>
  <c r="C20" i="4" s="1"/>
  <c r="D20" i="4" s="1"/>
  <c r="I53" i="3"/>
  <c r="C7" i="1"/>
  <c r="E16" i="7"/>
  <c r="C44" i="3"/>
  <c r="C25" i="3"/>
  <c r="I16" i="7" l="1"/>
  <c r="I3" i="7" s="1"/>
  <c r="F3" i="4" s="1"/>
  <c r="G4" i="4" s="1"/>
  <c r="B24" i="4" s="1"/>
  <c r="G2" i="4" s="1"/>
  <c r="G15" i="7"/>
  <c r="G16" i="7"/>
  <c r="D4" i="4"/>
  <c r="E19" i="7"/>
  <c r="E15" i="7"/>
  <c r="G18" i="7"/>
  <c r="I18" i="7" s="1"/>
  <c r="I20" i="7" s="1"/>
  <c r="F4" i="4" s="1"/>
  <c r="C45" i="3"/>
  <c r="E12" i="3"/>
  <c r="G20" i="7" l="1"/>
  <c r="E4" i="4" s="1"/>
  <c r="D7" i="4"/>
  <c r="D8" i="4" s="1"/>
  <c r="D9" i="4" s="1"/>
  <c r="D10" i="4" s="1"/>
  <c r="D5" i="4"/>
  <c r="F8" i="4"/>
  <c r="F9" i="4" s="1"/>
  <c r="F5" i="4"/>
  <c r="E5" i="4"/>
  <c r="E7" i="4"/>
  <c r="E8" i="4" s="1"/>
  <c r="D53" i="5"/>
  <c r="I19" i="7" l="1"/>
  <c r="G19" i="7"/>
  <c r="E9" i="4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3" i="5"/>
  <c r="D4" i="5"/>
  <c r="C18" i="4" l="1"/>
  <c r="D18" i="4" s="1"/>
  <c r="F21" i="4" s="1"/>
  <c r="C32" i="2"/>
  <c r="D32" i="2"/>
  <c r="E32" i="2"/>
  <c r="F34" i="2"/>
  <c r="F35" i="2" s="1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E22" i="3"/>
  <c r="E18" i="3"/>
  <c r="E21" i="3"/>
  <c r="E13" i="3"/>
  <c r="E17" i="3"/>
  <c r="E15" i="3"/>
  <c r="E14" i="3"/>
  <c r="B54" i="2"/>
  <c r="D53" i="2"/>
  <c r="E53" i="2" s="1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" i="5" l="1"/>
  <c r="D36" i="5"/>
  <c r="D33" i="2"/>
  <c r="D34" i="2" s="1"/>
  <c r="C33" i="2"/>
  <c r="C34" i="2" s="1"/>
  <c r="C35" i="2" s="1"/>
  <c r="E33" i="2"/>
  <c r="E34" i="2" s="1"/>
  <c r="D55" i="5"/>
  <c r="E55" i="5" s="1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71" i="2"/>
  <c r="C17" i="2"/>
  <c r="I9" i="1"/>
  <c r="F15" i="2"/>
  <c r="G15" i="2"/>
  <c r="C68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2" i="2"/>
  <c r="J13" i="2"/>
  <c r="D14" i="2"/>
  <c r="H13" i="2"/>
  <c r="H12" i="2" s="1"/>
  <c r="L13" i="2"/>
  <c r="L12" i="2" s="1"/>
  <c r="F10" i="2"/>
  <c r="J10" i="2"/>
  <c r="J12" i="2" s="1"/>
  <c r="D54" i="2"/>
  <c r="E54" i="2" s="1"/>
  <c r="F54" i="2"/>
  <c r="B53" i="2"/>
  <c r="E14" i="2"/>
  <c r="I14" i="2"/>
  <c r="F4" i="2"/>
  <c r="K13" i="2"/>
  <c r="K12" i="2" s="1"/>
  <c r="B55" i="2"/>
  <c r="E26" i="3"/>
  <c r="C70" i="2" l="1"/>
  <c r="C25" i="4"/>
  <c r="E44" i="3"/>
  <c r="D44" i="3" s="1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D55" i="2"/>
  <c r="E55" i="2" s="1"/>
  <c r="B56" i="2"/>
  <c r="F55" i="2"/>
  <c r="E13" i="2"/>
  <c r="E12" i="2" s="1"/>
  <c r="E46" i="3"/>
  <c r="D26" i="3"/>
  <c r="E36" i="5"/>
  <c r="K17" i="2"/>
  <c r="C69" i="2"/>
  <c r="D13" i="2"/>
  <c r="D12" i="2" s="1"/>
  <c r="J17" i="2"/>
  <c r="G17" i="2"/>
  <c r="I13" i="2"/>
  <c r="I12" i="2" s="1"/>
  <c r="L17" i="2"/>
  <c r="C26" i="4" l="1"/>
  <c r="E45" i="3"/>
  <c r="D45" i="3" s="1"/>
  <c r="D25" i="3"/>
  <c r="E45" i="2"/>
  <c r="E35" i="2"/>
  <c r="D45" i="2"/>
  <c r="D35" i="2"/>
  <c r="I25" i="3"/>
  <c r="D62" i="5"/>
  <c r="E62" i="5" s="1"/>
  <c r="J24" i="3"/>
  <c r="E18" i="5"/>
  <c r="D56" i="2"/>
  <c r="E56" i="2" s="1"/>
  <c r="B57" i="2"/>
  <c r="F56" i="2"/>
  <c r="E17" i="2"/>
  <c r="D71" i="2"/>
  <c r="I17" i="2"/>
  <c r="D17" i="2"/>
  <c r="D46" i="3"/>
  <c r="I45" i="3" l="1"/>
  <c r="C73" i="2"/>
  <c r="I10" i="1"/>
  <c r="E50" i="3" s="1"/>
  <c r="D50" i="3" s="1"/>
  <c r="J44" i="3"/>
  <c r="D18" i="5"/>
  <c r="D57" i="2"/>
  <c r="E57" i="2" s="1"/>
  <c r="F57" i="2"/>
  <c r="B58" i="2"/>
  <c r="C21" i="4" l="1"/>
  <c r="D60" i="3"/>
  <c r="D58" i="2"/>
  <c r="E58" i="2" s="1"/>
  <c r="F58" i="2"/>
  <c r="B59" i="2"/>
  <c r="D21" i="4" l="1"/>
  <c r="G21" i="4" s="1"/>
  <c r="G18" i="4"/>
  <c r="D49" i="3"/>
  <c r="D6" i="3"/>
  <c r="D7" i="3" s="1"/>
  <c r="D59" i="2"/>
  <c r="E59" i="2" s="1"/>
  <c r="B60" i="2"/>
  <c r="F59" i="2"/>
  <c r="G19" i="4" l="1"/>
  <c r="H16" i="1" s="1"/>
  <c r="E6" i="3"/>
  <c r="D60" i="2"/>
  <c r="E60" i="2" s="1"/>
  <c r="B61" i="2"/>
  <c r="F60" i="2"/>
  <c r="E20" i="4" l="1"/>
  <c r="J16" i="1"/>
  <c r="D61" i="2"/>
  <c r="E61" i="2" s="1"/>
  <c r="B62" i="2"/>
  <c r="F61" i="2"/>
  <c r="D62" i="2" l="1"/>
  <c r="E62" i="2" s="1"/>
  <c r="F62" i="2"/>
  <c r="B63" i="2"/>
  <c r="D63" i="2" l="1"/>
  <c r="E63" i="2" s="1"/>
  <c r="E64" i="2" s="1"/>
  <c r="F63" i="2"/>
  <c r="F65" i="2" s="1"/>
  <c r="D72" i="2" l="1"/>
  <c r="D68" i="2"/>
  <c r="D70" i="2"/>
  <c r="D73" i="2"/>
  <c r="D69" i="2" l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3" i="4" s="1"/>
  <c r="I35" i="1" s="1"/>
  <c r="E25" i="4"/>
  <c r="G25" i="4" s="1"/>
  <c r="C29" i="4" s="1"/>
  <c r="E26" i="4"/>
  <c r="G26" i="4" s="1"/>
  <c r="E29" i="4" s="1"/>
  <c r="D14" i="1" l="1"/>
  <c r="F14" i="1"/>
  <c r="G15" i="4"/>
  <c r="F33" i="4" l="1"/>
  <c r="E33" i="4" l="1"/>
  <c r="C11" i="1"/>
  <c r="D12" i="5"/>
  <c r="D5" i="5" l="1"/>
  <c r="E5" i="5" s="1"/>
  <c r="E64" i="5"/>
  <c r="D64" i="5" l="1"/>
  <c r="E7" i="5" l="1"/>
  <c r="D7" i="5" s="1"/>
  <c r="D8" i="5" s="1"/>
  <c r="E8" i="5" s="1"/>
  <c r="C32" i="4" s="1"/>
  <c r="D29" i="4" l="1"/>
  <c r="E32" i="4"/>
  <c r="H14" i="1"/>
  <c r="J25" i="1" s="1"/>
  <c r="F32" i="4"/>
  <c r="D16" i="1" l="1"/>
  <c r="D18" i="1"/>
  <c r="B17" i="1"/>
  <c r="D17" i="1" s="1"/>
  <c r="F17" i="1" l="1"/>
  <c r="J17" i="1"/>
</calcChain>
</file>

<file path=xl/sharedStrings.xml><?xml version="1.0" encoding="utf-8"?>
<sst xmlns="http://schemas.openxmlformats.org/spreadsheetml/2006/main" count="420" uniqueCount="355">
  <si>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</si>
  <si>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</si>
  <si>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</si>
  <si>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</si>
  <si>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</si>
  <si>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</si>
  <si>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</si>
  <si>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</si>
  <si>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</si>
  <si>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</si>
  <si>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</si>
  <si>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</si>
  <si>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</si>
  <si>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</si>
  <si>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</si>
  <si>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</si>
  <si>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</si>
  <si>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</si>
  <si>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</si>
  <si>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</si>
  <si>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</si>
  <si>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</si>
  <si>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</si>
  <si>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</si>
  <si>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</si>
  <si>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</si>
  <si>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</si>
  <si>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</si>
  <si>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</si>
  <si>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</si>
  <si>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</si>
  <si>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</si>
  <si>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</si>
  <si>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</si>
  <si>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</si>
  <si>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</si>
  <si>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</si>
  <si>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</si>
  <si>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</si>
  <si>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</si>
  <si>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</si>
  <si>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</si>
  <si>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</si>
  <si>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</si>
  <si>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</si>
  <si>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</si>
  <si>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</si>
  <si>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</si>
  <si>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</si>
  <si>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</si>
  <si>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</si>
  <si>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</si>
  <si>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</si>
  <si>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</si>
  <si>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</si>
  <si>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</si>
  <si>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</si>
  <si>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</si>
  <si>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</si>
  <si>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</si>
  <si>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</si>
  <si>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</si>
  <si>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</si>
  <si>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</si>
  <si>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</si>
  <si>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</si>
  <si>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</si>
  <si>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</si>
  <si>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</si>
  <si>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</si>
  <si>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</si>
  <si>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</si>
  <si>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</si>
  <si>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</si>
  <si>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</si>
  <si>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</si>
  <si>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</si>
  <si>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</si>
  <si>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</si>
  <si>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</si>
  <si>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</si>
  <si>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</si>
  <si>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</si>
  <si>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</si>
  <si>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</si>
  <si>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</si>
  <si>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</si>
  <si>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</si>
  <si>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</si>
  <si>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</si>
  <si>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</si>
  <si>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</si>
  <si>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</si>
  <si>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</si>
  <si>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</si>
  <si>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</si>
  <si>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</si>
  <si>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</si>
  <si>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</si>
  <si>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</si>
  <si>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</si>
  <si>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</si>
  <si>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</si>
  <si>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</si>
  <si>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</si>
  <si>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</si>
  <si>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</si>
  <si>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</si>
  <si>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</si>
  <si>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</si>
  <si>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</si>
  <si>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</si>
  <si>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</si>
  <si>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</si>
  <si>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</si>
  <si>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</si>
  <si>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</si>
  <si>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</si>
  <si>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</si>
  <si>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</si>
  <si>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</si>
  <si>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</si>
  <si>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</si>
  <si>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</si>
  <si>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</si>
  <si>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</si>
  <si>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</si>
  <si>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</si>
  <si>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</si>
  <si>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</si>
  <si>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</si>
  <si>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</si>
  <si>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</si>
  <si>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</si>
  <si>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</si>
  <si>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</si>
  <si>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</si>
  <si>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</si>
  <si>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</si>
  <si>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</si>
  <si>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</si>
  <si>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</si>
  <si>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</si>
  <si>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</si>
  <si>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</si>
  <si>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</si>
  <si>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</si>
  <si>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</si>
  <si>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</si>
  <si>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</si>
  <si>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</si>
  <si>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</si>
  <si>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</si>
  <si>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</si>
  <si>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</si>
  <si>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</si>
  <si>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</si>
  <si>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</si>
  <si>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</si>
  <si>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</si>
  <si>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</si>
  <si>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</si>
  <si>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</si>
  <si>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</si>
  <si>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</si>
  <si>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</si>
  <si>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</si>
  <si>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</si>
  <si>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</si>
  <si>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</si>
  <si>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</si>
  <si>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</si>
  <si>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</si>
  <si>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</si>
  <si>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</si>
  <si>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</si>
  <si>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</si>
  <si>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</si>
  <si>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</si>
  <si>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</si>
  <si>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</si>
  <si>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</si>
  <si>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</si>
  <si>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</si>
  <si>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</si>
  <si>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</si>
  <si>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</si>
  <si>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</si>
  <si>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</si>
  <si>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</si>
  <si>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</si>
  <si>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</si>
  <si>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</si>
  <si>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</si>
  <si>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</si>
  <si>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</si>
  <si>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</si>
  <si>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</si>
  <si>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</si>
  <si>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</si>
  <si>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</si>
  <si>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</si>
  <si>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</si>
  <si>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</si>
  <si>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</si>
  <si>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</si>
  <si>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</si>
  <si>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</si>
  <si>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</si>
  <si>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</si>
  <si>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</si>
  <si>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</si>
  <si>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</si>
  <si>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</si>
  <si>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</si>
  <si>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</si>
  <si>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</si>
  <si>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</si>
  <si>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</si>
  <si>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</si>
  <si>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</si>
  <si>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</si>
  <si>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</si>
  <si>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</si>
  <si>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</si>
  <si>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</si>
  <si>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</si>
  <si>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</si>
  <si>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</si>
  <si>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</si>
  <si>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</si>
  <si>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</si>
  <si>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</si>
  <si>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</si>
  <si>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</si>
  <si>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</si>
  <si>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</si>
  <si>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</si>
  <si>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</si>
  <si>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</si>
  <si>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</si>
  <si>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</si>
  <si>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</si>
  <si>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</si>
  <si>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</si>
  <si>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</si>
  <si>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</si>
  <si>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</si>
  <si>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</si>
  <si>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</si>
  <si>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</si>
  <si>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</si>
  <si>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</si>
  <si>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</si>
  <si>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</si>
  <si>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</si>
  <si>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</si>
  <si>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</si>
  <si>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</si>
  <si>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</si>
  <si>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</si>
  <si>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</si>
  <si>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</si>
  <si>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</si>
  <si>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</si>
  <si>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</si>
  <si>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</si>
  <si>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</si>
  <si>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</si>
  <si>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</si>
  <si>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</si>
  <si>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</si>
  <si>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</si>
  <si>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</si>
  <si>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</si>
  <si>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</si>
  <si>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</si>
  <si>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</si>
  <si>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</si>
  <si>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</si>
  <si>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</si>
  <si>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</si>
  <si>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</si>
  <si>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</si>
  <si>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</si>
  <si>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</si>
  <si>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</si>
  <si>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</si>
  <si>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</si>
  <si>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</si>
  <si>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</si>
  <si>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</si>
  <si>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</si>
  <si>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</si>
  <si>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</si>
  <si>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</si>
  <si>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</si>
  <si>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</si>
  <si>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</si>
  <si>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</si>
  <si>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</si>
  <si>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Investor's Expected Inflows</t>
  </si>
  <si>
    <t>NOPAT growth Rate</t>
  </si>
  <si>
    <t>0083.HK</t>
  </si>
  <si>
    <t>SINO LAND</t>
  </si>
  <si>
    <t>低估值的香港龙头房地产开发商</t>
  </si>
  <si>
    <t xml:space="preserve">Asset Plays 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</si>
  <si>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</si>
  <si>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</si>
  <si>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</si>
  <si>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</si>
  <si>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物業銷售</t>
  </si>
  <si>
    <t>物業管理及其他服務</t>
  </si>
  <si>
    <t>酒店經營</t>
  </si>
  <si>
    <t>經營租賃之租金收益</t>
  </si>
  <si>
    <t>6-10% growth rate on HK properties</t>
  </si>
  <si>
    <t>Consumer Staples, 15.1y</t>
  </si>
  <si>
    <t>2. There is no network effect and low customer switching cost.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</si>
  <si>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</si>
  <si>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</si>
  <si>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3. There are low capital requirements.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</si>
  <si>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</si>
  <si>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</si>
  <si>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</si>
  <si>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</si>
  <si>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</si>
  <si>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</si>
  <si>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</si>
  <si>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</si>
  <si>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</si>
  <si>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More like a slow growing business</t>
  </si>
  <si>
    <t>1. Does the company have a non-cylical business?</t>
  </si>
  <si>
    <t>Hong Kong properties price in the long-term is safe</t>
  </si>
  <si>
    <t>1. Does the company have simple revenue and expense streams to understand?</t>
  </si>
  <si>
    <t>3. Does the company have a stable and durable business?</t>
  </si>
  <si>
    <t>4. Does the company have rational and responsible managers?</t>
  </si>
  <si>
    <t>5. Does the company have a Excellent business?</t>
  </si>
  <si>
    <t>2. Does the company have simple and meaningful assets base to value?</t>
  </si>
  <si>
    <t>Base Case</t>
  </si>
  <si>
    <t>Reasonable Case</t>
  </si>
  <si>
    <t>PV of Value Inflow</t>
  </si>
  <si>
    <t xml:space="preserve">Ideal Excess Return after MOS = </t>
  </si>
  <si>
    <t>Ideal price =</t>
  </si>
  <si>
    <t>Next Action Price =</t>
  </si>
  <si>
    <t>Next Action Shares =</t>
  </si>
  <si>
    <t>Next Sell Price =</t>
  </si>
  <si>
    <t>HK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</si>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</sst>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Next Action Price = &quot;0.00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6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3" fontId="2" fillId="10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9" fontId="15" fillId="9" borderId="94" xfId="0" applyNumberFormat="1" applyFont="1" applyFill="1" applyBorder="1" applyAlignment="1">
      <alignment horizontal="center"/>
    </xf>
    <xf numFmtId="174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4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79" fontId="18" fillId="0" borderId="9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185" fontId="28" fillId="0" borderId="11" xfId="0" applyNumberFormat="1" applyFont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3" fontId="7" fillId="10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11" borderId="13" xfId="0" applyNumberFormat="1" applyFont="1" applyFill="1" applyBorder="1" applyAlignment="1">
      <alignment horizontal="center"/>
    </xf>
    <xf numFmtId="0" fontId="7" fillId="10" borderId="13" xfId="0" applyFont="1" applyFill="1" applyBorder="1"/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4" borderId="2" xfId="0" applyFont="1" applyFill="1" applyBorder="1"/>
    <xf numFmtId="0" fontId="7" fillId="14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4" borderId="9" xfId="0" applyFont="1" applyFill="1" applyBorder="1"/>
    <xf numFmtId="0" fontId="7" fillId="14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0" fontId="1" fillId="14" borderId="13" xfId="0" applyFont="1" applyFill="1" applyBorder="1"/>
    <xf numFmtId="0" fontId="1" fillId="14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6" zoomScaleNormal="100" workbookViewId="0">
      <selection activeCell="C22" sqref="C22:F22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27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8" t="s">
        <v>303</v>
      </c>
      <c r="D3" s="399"/>
      <c r="E3" s="15"/>
      <c r="G3" s="7" t="s">
        <v>2</v>
      </c>
      <c r="I3" s="410" t="s">
        <v>3</v>
      </c>
      <c r="J3" s="411"/>
    </row>
    <row r="4" spans="1:12" ht="15.75" customHeight="1" x14ac:dyDescent="0.3">
      <c r="B4" s="5" t="s">
        <v>4</v>
      </c>
      <c r="C4" s="400" t="s">
        <v>304</v>
      </c>
      <c r="D4" s="401"/>
      <c r="E4" s="6"/>
      <c r="G4" s="5" t="s">
        <v>5</v>
      </c>
      <c r="I4" s="32">
        <v>10.32</v>
      </c>
      <c r="J4" s="33" t="s">
        <v>6</v>
      </c>
      <c r="K4" s="172"/>
    </row>
    <row r="5" spans="1:12" ht="15.75" customHeight="1" x14ac:dyDescent="0.3">
      <c r="B5" s="5" t="s">
        <v>7</v>
      </c>
      <c r="C5" s="402">
        <v>44956</v>
      </c>
      <c r="D5" s="401"/>
      <c r="E5" s="142" t="str">
        <f ca="1">IF(C5+30&gt;=TODAY(),"Patience Premium","")</f>
        <v/>
      </c>
      <c r="G5" s="5" t="s">
        <v>8</v>
      </c>
      <c r="I5" s="393">
        <v>8061262157</v>
      </c>
      <c r="J5" s="394"/>
      <c r="K5" s="171"/>
      <c r="L5" s="106"/>
    </row>
    <row r="6" spans="1:12" ht="15.75" customHeight="1" x14ac:dyDescent="0.3">
      <c r="B6" s="12" t="s">
        <v>281</v>
      </c>
      <c r="C6" s="290">
        <v>8</v>
      </c>
      <c r="D6" s="291">
        <f>EOMONTH(EDATE(Asset_Model!D9,C6),0)</f>
        <v>45169</v>
      </c>
      <c r="E6" s="363">
        <f>Data!C3</f>
        <v>44742</v>
      </c>
      <c r="G6" s="154" t="s">
        <v>9</v>
      </c>
      <c r="H6" s="153"/>
      <c r="I6" s="412">
        <f>I4*I5/1000000</f>
        <v>83192.225460240006</v>
      </c>
      <c r="J6" s="413"/>
      <c r="K6" s="171"/>
    </row>
    <row r="7" spans="1:12" ht="15.75" customHeight="1" x14ac:dyDescent="0.3">
      <c r="B7" s="159" t="s">
        <v>10</v>
      </c>
      <c r="C7" s="165">
        <f>(Data!C39)/I4</f>
        <v>3.6706398742265244E-2</v>
      </c>
      <c r="D7" s="165">
        <f>(Data!C40)/I4</f>
        <v>0</v>
      </c>
      <c r="E7" s="173"/>
      <c r="F7" s="6"/>
    </row>
    <row r="8" spans="1:12" ht="15.75" customHeight="1" x14ac:dyDescent="0.3">
      <c r="C8" s="117"/>
      <c r="E8" s="6"/>
      <c r="G8" s="21" t="s">
        <v>11</v>
      </c>
      <c r="H8" s="152"/>
      <c r="I8" s="6"/>
      <c r="J8" s="6"/>
    </row>
    <row r="9" spans="1:12" ht="15.75" customHeight="1" x14ac:dyDescent="0.3">
      <c r="B9" s="21" t="s">
        <v>12</v>
      </c>
      <c r="C9" s="320"/>
      <c r="D9" s="318"/>
      <c r="E9" s="5"/>
      <c r="G9" s="5" t="s">
        <v>13</v>
      </c>
      <c r="I9" s="141">
        <f>IF(Data!F3&lt;=0,"NNI",I4/((Data!F3*I12)/(I5/Data!C4)))</f>
        <v>14.505053436631053</v>
      </c>
      <c r="J9" s="48">
        <f>IF(I9="NNI","NNI",1/I9)</f>
        <v>6.8941490244675732E-2</v>
      </c>
    </row>
    <row r="10" spans="1:12" ht="15.75" customHeight="1" x14ac:dyDescent="0.3">
      <c r="B10" s="3" t="s">
        <v>298</v>
      </c>
      <c r="C10" s="319" t="s">
        <v>346</v>
      </c>
      <c r="D10" s="319">
        <v>3.8159999999999999E-2</v>
      </c>
      <c r="E10" s="5"/>
      <c r="G10" s="5" t="s">
        <v>14</v>
      </c>
      <c r="I10" s="158">
        <f>I4/(Data!C28*I12*Data!C4/Common_Shares)</f>
        <v>0.52577264888215636</v>
      </c>
      <c r="J10" s="150">
        <f>IF(Asset_Model!D60/'FCFF Model'!C4&lt;0,"Negative EV",Asset_Model!D60/'FCFF Model'!C4)</f>
        <v>4.1595857957298987</v>
      </c>
    </row>
    <row r="11" spans="1:12" ht="15.75" customHeight="1" thickBot="1" x14ac:dyDescent="0.35">
      <c r="B11" s="332" t="s">
        <v>299</v>
      </c>
      <c r="C11" s="424">
        <f ca="1">C12-D10</f>
        <v>4.1840000000000002E-2</v>
      </c>
      <c r="D11" s="425"/>
      <c r="E11" s="13"/>
      <c r="G11" s="5" t="s">
        <v>15</v>
      </c>
      <c r="H11" s="6"/>
      <c r="I11" s="422" t="s">
        <v>6</v>
      </c>
      <c r="J11" s="423"/>
    </row>
    <row r="12" spans="1:12" ht="15.75" customHeight="1" thickTop="1" x14ac:dyDescent="0.3">
      <c r="B12" s="333" t="s">
        <v>174</v>
      </c>
      <c r="C12" s="426">
        <f ca="1">IF(C10="US",6%,8%)*IF($C$5+30&gt;=TODAY(),1.2,1)</f>
        <v>0.08</v>
      </c>
      <c r="D12" s="427"/>
      <c r="G12" s="154" t="s">
        <v>16</v>
      </c>
      <c r="H12" s="153"/>
      <c r="I12" s="155">
        <v>1</v>
      </c>
      <c r="J12" s="15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47" t="s">
        <v>242</v>
      </c>
      <c r="D14" s="204">
        <f ca="1">MIN('FCFF Model'!C29,'FCFF Model'!E29)</f>
        <v>10.429776905912007</v>
      </c>
      <c r="E14" s="147" t="s">
        <v>259</v>
      </c>
      <c r="F14" s="204">
        <f ca="1">MAX('FCFF Model'!C29,'FCFF Model'!E29)</f>
        <v>11.339169963600042</v>
      </c>
      <c r="G14" s="205" t="s">
        <v>24</v>
      </c>
      <c r="H14" s="213">
        <f ca="1">IF('FCFF Model'!C32&lt;0, "Error", 'FCFF Model'!C32)</f>
        <v>10.945223365548518</v>
      </c>
      <c r="I14" s="153"/>
      <c r="J14" s="153"/>
    </row>
    <row r="15" spans="1:12" ht="15.75" customHeight="1" x14ac:dyDescent="0.3">
      <c r="A15" s="6"/>
      <c r="B15" s="81"/>
      <c r="C15" s="258" t="s">
        <v>275</v>
      </c>
      <c r="D15" s="110" t="s">
        <v>19</v>
      </c>
      <c r="E15" s="110" t="s">
        <v>20</v>
      </c>
      <c r="F15" s="110" t="s">
        <v>21</v>
      </c>
      <c r="G15" s="159"/>
      <c r="H15" s="81" t="s">
        <v>23</v>
      </c>
      <c r="J15" s="148" t="s">
        <v>22</v>
      </c>
    </row>
    <row r="16" spans="1:12" ht="15.75" customHeight="1" x14ac:dyDescent="0.3">
      <c r="B16" s="151">
        <f>I4</f>
        <v>10.32</v>
      </c>
      <c r="C16" s="433">
        <v>0.1</v>
      </c>
      <c r="D16" s="179">
        <f ca="1">H14/B16-1-C16</f>
        <v>-3.9416340547624357E-2</v>
      </c>
      <c r="E16" s="430">
        <f>'FCFF Model'!D11*Exchange_Rate</f>
        <v>0.56000000000000005</v>
      </c>
      <c r="F16" s="181">
        <f>E16/B16</f>
        <v>5.4263565891472874E-2</v>
      </c>
      <c r="G16" s="417" t="s">
        <v>25</v>
      </c>
      <c r="H16" s="414">
        <f>('FCFF Model'!G19)*Exchange_Rate</f>
        <v>5.9834442351159485</v>
      </c>
      <c r="I16" s="417" t="s">
        <v>26</v>
      </c>
      <c r="J16" s="226">
        <f>B16-$H$16</f>
        <v>4.3365557648840518</v>
      </c>
    </row>
    <row r="17" spans="1:10" ht="15.75" customHeight="1" x14ac:dyDescent="0.3">
      <c r="B17" s="310">
        <f ca="1">H14/(1+C16)</f>
        <v>9.9502030595895619</v>
      </c>
      <c r="C17" s="434"/>
      <c r="D17" s="309">
        <f ca="1">H14/B17-1-C16</f>
        <v>0</v>
      </c>
      <c r="E17" s="431"/>
      <c r="F17" s="182">
        <f ca="1">E16/B17</f>
        <v>5.6280258467720119E-2</v>
      </c>
      <c r="G17" s="418"/>
      <c r="H17" s="415"/>
      <c r="I17" s="418"/>
      <c r="J17" s="225">
        <f ca="1">B17-$H$16</f>
        <v>3.9667588244736134</v>
      </c>
    </row>
    <row r="18" spans="1:10" ht="15.75" customHeight="1" x14ac:dyDescent="0.3">
      <c r="B18" s="365">
        <f>C35</f>
        <v>9.6</v>
      </c>
      <c r="C18" s="435"/>
      <c r="D18" s="180">
        <f ca="1">H14/B18-1-C16</f>
        <v>4.0127433911304106E-2</v>
      </c>
      <c r="E18" s="432"/>
      <c r="F18" s="183">
        <f>E16/B18</f>
        <v>5.8333333333333341E-2</v>
      </c>
      <c r="G18" s="419"/>
      <c r="H18" s="416"/>
      <c r="I18" s="419"/>
      <c r="J18" s="227">
        <f>B18-$H$16</f>
        <v>3.6165557648840512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279</v>
      </c>
      <c r="D20" s="311" t="s">
        <v>306</v>
      </c>
      <c r="E20" s="286" t="s">
        <v>289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05" t="s">
        <v>305</v>
      </c>
      <c r="D21" s="406"/>
      <c r="E21" s="406"/>
      <c r="F21" s="406"/>
      <c r="G21" s="406"/>
      <c r="H21" s="406"/>
      <c r="I21" s="406"/>
      <c r="J21" s="407"/>
    </row>
    <row r="22" spans="1:10" ht="52.5" customHeight="1" x14ac:dyDescent="0.3">
      <c r="A22" s="6"/>
      <c r="B22" s="24" t="s">
        <v>29</v>
      </c>
      <c r="C22" s="421" t="s">
        <v>307</v>
      </c>
      <c r="D22" s="372"/>
      <c r="E22" s="372"/>
      <c r="F22" s="372"/>
      <c r="G22" s="421" t="s">
        <v>309</v>
      </c>
      <c r="H22" s="421"/>
      <c r="I22" s="372"/>
      <c r="J22" s="372"/>
    </row>
    <row r="23" spans="1:10" ht="52.5" customHeight="1" x14ac:dyDescent="0.3">
      <c r="A23" s="6"/>
      <c r="B23" s="25" t="s">
        <v>30</v>
      </c>
      <c r="C23" s="408" t="s">
        <v>308</v>
      </c>
      <c r="D23" s="409"/>
      <c r="E23" s="409"/>
      <c r="F23" s="409"/>
      <c r="G23" s="408" t="s">
        <v>310</v>
      </c>
      <c r="H23" s="408"/>
      <c r="I23" s="409"/>
      <c r="J23" s="409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341</v>
      </c>
      <c r="G25" s="12"/>
      <c r="H25" s="364">
        <v>0.15</v>
      </c>
      <c r="I25" s="30" t="s">
        <v>342</v>
      </c>
      <c r="J25" s="366">
        <f ca="1">H14/(H25+C16+1)</f>
        <v>8.7561786924388141</v>
      </c>
    </row>
    <row r="26" spans="1:10" ht="15.75" customHeight="1" x14ac:dyDescent="0.3">
      <c r="B26" s="23" t="s">
        <v>33</v>
      </c>
      <c r="C26" s="403">
        <v>44970</v>
      </c>
      <c r="D26" s="404"/>
      <c r="E26" s="439" t="str">
        <f>IF(C26="","","Action_Planning")</f>
        <v>Action_Planning</v>
      </c>
      <c r="F26" s="440"/>
      <c r="G26" s="440"/>
      <c r="H26" s="441"/>
      <c r="I26" s="420" t="s">
        <v>34</v>
      </c>
      <c r="J26" s="420"/>
    </row>
    <row r="27" spans="1:10" ht="15.75" customHeight="1" x14ac:dyDescent="0.3">
      <c r="B27" s="23" t="s">
        <v>35</v>
      </c>
      <c r="C27" s="429">
        <f>C31/D25</f>
        <v>6.8733333333333327E-2</v>
      </c>
      <c r="D27" s="392"/>
      <c r="E27" s="428">
        <f>E31/D25</f>
        <v>9.6000000000000002E-2</v>
      </c>
      <c r="F27" s="392"/>
      <c r="G27" s="437">
        <f>G31/D25</f>
        <v>0.26666666666666666</v>
      </c>
      <c r="H27" s="438"/>
      <c r="I27" s="436">
        <f>C27+E27+G27</f>
        <v>0.43140000000000001</v>
      </c>
      <c r="J27" s="436"/>
    </row>
    <row r="28" spans="1:10" ht="15.75" customHeight="1" x14ac:dyDescent="0.3">
      <c r="B28" s="23" t="s">
        <v>36</v>
      </c>
      <c r="C28" s="367">
        <v>4000</v>
      </c>
      <c r="D28" s="372"/>
      <c r="E28" s="367">
        <v>6000</v>
      </c>
      <c r="F28" s="372"/>
      <c r="G28" s="393">
        <v>20000</v>
      </c>
      <c r="H28" s="394"/>
      <c r="I28" s="397">
        <f>C28+E28+G28</f>
        <v>30000</v>
      </c>
      <c r="J28" s="397"/>
    </row>
    <row r="29" spans="1:10" ht="15.75" customHeight="1" x14ac:dyDescent="0.3">
      <c r="B29" s="23" t="s">
        <v>37</v>
      </c>
      <c r="C29" s="371">
        <v>10.31</v>
      </c>
      <c r="D29" s="372"/>
      <c r="E29" s="371">
        <v>9.6</v>
      </c>
      <c r="F29" s="372"/>
      <c r="G29" s="373">
        <v>8</v>
      </c>
      <c r="H29" s="374"/>
      <c r="I29" s="395"/>
      <c r="J29" s="395"/>
    </row>
    <row r="30" spans="1:10" ht="15.75" customHeight="1" x14ac:dyDescent="0.3">
      <c r="B30" s="23" t="s">
        <v>38</v>
      </c>
      <c r="C30" s="369">
        <f>C29*$I$5/1000000</f>
        <v>83111.61283867</v>
      </c>
      <c r="D30" s="379"/>
      <c r="E30" s="369">
        <f>E29*$I$5/1000000</f>
        <v>77388.116707199995</v>
      </c>
      <c r="F30" s="379"/>
      <c r="G30" s="382">
        <f>G29*$I$5/1000000</f>
        <v>64490.097256000001</v>
      </c>
      <c r="H30" s="383"/>
      <c r="I30" s="396"/>
      <c r="J30" s="396"/>
    </row>
    <row r="31" spans="1:10" ht="15.75" customHeight="1" x14ac:dyDescent="0.3">
      <c r="B31" s="2" t="s">
        <v>39</v>
      </c>
      <c r="C31" s="388">
        <f>C28*C29</f>
        <v>41240</v>
      </c>
      <c r="D31" s="389"/>
      <c r="E31" s="390">
        <f>E28*E29</f>
        <v>57600</v>
      </c>
      <c r="F31" s="391"/>
      <c r="G31" s="384">
        <f>G28*G29</f>
        <v>160000</v>
      </c>
      <c r="H31" s="385"/>
      <c r="I31" s="390">
        <f>C31+E31+G31</f>
        <v>258840</v>
      </c>
      <c r="J31" s="390"/>
    </row>
    <row r="32" spans="1:10" ht="15.75" customHeight="1" x14ac:dyDescent="0.3">
      <c r="B32" s="1" t="s">
        <v>40</v>
      </c>
      <c r="C32" s="386"/>
      <c r="D32" s="387"/>
      <c r="E32" s="370">
        <f>IF(C31=0,"-",(C31+E31)/(C28+E28))</f>
        <v>9.8840000000000003</v>
      </c>
      <c r="F32" s="392"/>
      <c r="G32" s="137"/>
      <c r="H32" s="137"/>
      <c r="I32" s="370">
        <f>IF(I31=0,"",I31/I28)</f>
        <v>8.6280000000000001</v>
      </c>
      <c r="J32" s="370"/>
    </row>
    <row r="33" spans="2:10" ht="15.75" customHeight="1" x14ac:dyDescent="0.3">
      <c r="B33" s="1" t="s">
        <v>41</v>
      </c>
      <c r="C33" s="380"/>
      <c r="D33" s="381"/>
      <c r="E33" s="369">
        <f>IF(E32="-","-",E32*$I$5/1000000)</f>
        <v>79677.515159788003</v>
      </c>
      <c r="F33" s="379"/>
      <c r="G33" s="138"/>
      <c r="H33" s="138"/>
      <c r="I33" s="369">
        <f>IF(I32="","",I32*$I$5/1000000)</f>
        <v>69552.569890596002</v>
      </c>
      <c r="J33" s="369"/>
    </row>
    <row r="34" spans="2:10" ht="15.75" customHeight="1" x14ac:dyDescent="0.3"/>
    <row r="35" spans="2:10" ht="15.75" customHeight="1" x14ac:dyDescent="0.3">
      <c r="B35" s="166" t="s">
        <v>343</v>
      </c>
      <c r="C35" s="375">
        <f>E29</f>
        <v>9.6</v>
      </c>
      <c r="D35" s="376"/>
      <c r="G35" s="377" t="s">
        <v>345</v>
      </c>
      <c r="H35" s="378"/>
      <c r="I35" s="375">
        <f ca="1">'FCFF Model'!C33*0.9</f>
        <v>12.347246296726411</v>
      </c>
      <c r="J35" s="376"/>
    </row>
    <row r="36" spans="2:10" ht="15.75" customHeight="1" x14ac:dyDescent="0.3">
      <c r="B36" s="166" t="s">
        <v>344</v>
      </c>
      <c r="C36" s="367">
        <f>E28</f>
        <v>6000</v>
      </c>
      <c r="D36" s="368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2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I35:J35"/>
    <mergeCell ref="G35:H35"/>
    <mergeCell ref="C35:D35"/>
    <mergeCell ref="C30:D30"/>
    <mergeCell ref="C33:D33"/>
    <mergeCell ref="E33:F33"/>
    <mergeCell ref="G30:H30"/>
    <mergeCell ref="G31:H31"/>
  </mergeCells>
  <conditionalFormatting sqref="I16">
    <cfRule type="cellIs" dxfId="15" priority="23" operator="lessThan">
      <formula>0</formula>
    </cfRule>
  </conditionalFormatting>
  <conditionalFormatting sqref="C26:D26 I26 C28:G29 I28:I29">
    <cfRule type="containsBlanks" priority="17">
      <formula>LEN(TRIM(C26))=0</formula>
    </cfRule>
  </conditionalFormatting>
  <conditionalFormatting sqref="D16 D18">
    <cfRule type="cellIs" dxfId="14" priority="13" operator="lessThan">
      <formula>0</formula>
    </cfRule>
  </conditionalFormatting>
  <conditionalFormatting sqref="H16">
    <cfRule type="cellIs" dxfId="13" priority="8" operator="greaterThan">
      <formula>$B$16</formula>
    </cfRule>
  </conditionalFormatting>
  <conditionalFormatting sqref="H14">
    <cfRule type="cellIs" dxfId="12" priority="5" operator="greaterThan">
      <formula>$B$16</formula>
    </cfRule>
  </conditionalFormatting>
  <conditionalFormatting sqref="C35:D36">
    <cfRule type="containsBlanks" priority="4">
      <formula>LEN(TRIM(C35))=0</formula>
    </cfRule>
  </conditionalFormatting>
  <conditionalFormatting sqref="I35:J35">
    <cfRule type="containsBlanks" priority="3">
      <formula>LEN(TRIM(I35))=0</formula>
    </cfRule>
  </conditionalFormatting>
  <conditionalFormatting sqref="E26">
    <cfRule type="containsBlanks" priority="2">
      <formula>LEN(TRIM(E26))=0</formula>
    </cfRule>
  </conditionalFormatting>
  <conditionalFormatting sqref="E26:H26">
    <cfRule type="containsBlanks" dxfId="11" priority="1">
      <formula>LEN(TRIM(E26))=0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B4" sqref="B4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69">
        <v>44742</v>
      </c>
      <c r="D3" s="6"/>
      <c r="E3" s="199">
        <v>1</v>
      </c>
      <c r="F3" s="197">
        <f t="array" ref="F3">AVERAGE(C19:INDEX(C19:M19,1,E3))</f>
        <v>5735396</v>
      </c>
      <c r="G3" s="6"/>
      <c r="H3" s="5"/>
      <c r="I3" s="6"/>
      <c r="J3" s="19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98">
        <f>AVERAGE(C16:INDEX(C16:M16,1,E4))</f>
        <v>7384827</v>
      </c>
      <c r="G4" s="6"/>
      <c r="I4" s="6"/>
      <c r="J4" s="10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99">
        <f>C3</f>
        <v>44742</v>
      </c>
      <c r="D6" s="300">
        <f>EOMONTH(EDATE(C6,-12),0)</f>
        <v>44377</v>
      </c>
      <c r="E6" s="300">
        <f t="shared" ref="E6:M6" si="0">EOMONTH(EDATE(D6,-12),0)</f>
        <v>44012</v>
      </c>
      <c r="F6" s="300">
        <f t="shared" si="0"/>
        <v>43646</v>
      </c>
      <c r="G6" s="300">
        <f t="shared" si="0"/>
        <v>43281</v>
      </c>
      <c r="H6" s="300">
        <f t="shared" si="0"/>
        <v>42916</v>
      </c>
      <c r="I6" s="300">
        <f t="shared" si="0"/>
        <v>42551</v>
      </c>
      <c r="J6" s="300">
        <f t="shared" si="0"/>
        <v>42185</v>
      </c>
      <c r="K6" s="300">
        <f t="shared" si="0"/>
        <v>41820</v>
      </c>
      <c r="L6" s="300">
        <f t="shared" si="0"/>
        <v>41455</v>
      </c>
      <c r="M6" s="300">
        <f t="shared" si="0"/>
        <v>41090</v>
      </c>
    </row>
    <row r="7" spans="1:14" ht="15.75" customHeight="1" x14ac:dyDescent="0.3">
      <c r="A7" s="9"/>
      <c r="B7" s="43" t="s">
        <v>45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6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0"/>
      <c r="N8" s="6"/>
    </row>
    <row r="9" spans="1:14" ht="15.75" customHeight="1" x14ac:dyDescent="0.3">
      <c r="A9" s="9"/>
      <c r="B9" s="44" t="s">
        <v>47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6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6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63">
        <f>IF(C14="","",C14*(1-Operation!$D$18))</f>
        <v>7384827</v>
      </c>
      <c r="D16" s="163">
        <f>IF(D14="","",D14*(1-Operation!$D$18))</f>
        <v>12711315</v>
      </c>
      <c r="E16" s="163">
        <f>IF(E14="","",E14*(1-Operation!$D$18))</f>
        <v>2605663</v>
      </c>
      <c r="F16" s="163">
        <f>IF(F14="","",F14*(1-Operation!$D$18))</f>
        <v>3558318</v>
      </c>
      <c r="G16" s="163" t="str">
        <f>IF(G14="","",G14*(1-Operation!$D$18))</f>
        <v/>
      </c>
      <c r="H16" s="163" t="str">
        <f>IF(H14="","",H14*(1-Operation!$D$18))</f>
        <v/>
      </c>
      <c r="I16" s="163" t="str">
        <f>IF(I14="","",I14*(1-Operation!$D$18))</f>
        <v/>
      </c>
      <c r="J16" s="163" t="str">
        <f>IF(J14="","",J14*(1-Operation!$D$18))</f>
        <v/>
      </c>
      <c r="K16" s="163" t="str">
        <f>IF(K14="","",K14*(1-Operation!$D$18))</f>
        <v/>
      </c>
      <c r="L16" s="163" t="str">
        <f>IF(L14="","",L14*(1-Operation!$D$18))</f>
        <v/>
      </c>
      <c r="M16" s="263" t="str">
        <f>IF(M14="","",M14*(1-Operation!$D$18))</f>
        <v/>
      </c>
      <c r="N16" s="6"/>
    </row>
    <row r="17" spans="1:14" ht="15.75" customHeight="1" x14ac:dyDescent="0.3">
      <c r="A17" s="9"/>
      <c r="B17" s="162" t="s">
        <v>55</v>
      </c>
      <c r="C17" s="149">
        <f t="shared" ref="C17:M17" si="7">IF(C7="","",C16/C7)</f>
        <v>0.47478104591089182</v>
      </c>
      <c r="D17" s="149">
        <f t="shared" si="7"/>
        <v>0.51787070012664316</v>
      </c>
      <c r="E17" s="149">
        <f t="shared" si="7"/>
        <v>0.44262146655414542</v>
      </c>
      <c r="F17" s="149">
        <f t="shared" si="7"/>
        <v>0.44423933746088595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264" t="str">
        <f t="shared" si="7"/>
        <v/>
      </c>
      <c r="N17" s="6"/>
    </row>
    <row r="18" spans="1:14" ht="15.75" customHeight="1" x14ac:dyDescent="0.3">
      <c r="A18" s="9"/>
      <c r="B18" s="44" t="s">
        <v>282</v>
      </c>
      <c r="C18" s="164">
        <v>27282</v>
      </c>
      <c r="D18" s="164">
        <v>39885</v>
      </c>
      <c r="E18" s="164">
        <v>31747</v>
      </c>
      <c r="F18" s="164">
        <v>60128</v>
      </c>
      <c r="G18" s="164"/>
      <c r="H18" s="164"/>
      <c r="I18" s="164"/>
      <c r="J18" s="164"/>
      <c r="K18" s="164"/>
      <c r="L18" s="164"/>
      <c r="M18" s="265"/>
      <c r="N18" s="6"/>
    </row>
    <row r="19" spans="1:14" ht="15.75" customHeight="1" x14ac:dyDescent="0.3">
      <c r="A19" s="9"/>
      <c r="B19" s="44" t="s">
        <v>56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61"/>
      <c r="N19" s="6"/>
    </row>
    <row r="20" spans="1:14" ht="15.75" customHeight="1" x14ac:dyDescent="0.3">
      <c r="A20" s="9"/>
      <c r="B20" s="44" t="s">
        <v>297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96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61"/>
      <c r="N21" s="6"/>
    </row>
    <row r="22" spans="1:14" ht="15.75" customHeight="1" x14ac:dyDescent="0.3">
      <c r="A22" s="9"/>
      <c r="B22" s="44" t="s">
        <v>58</v>
      </c>
      <c r="C22" s="196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61"/>
      <c r="N22" s="6"/>
    </row>
    <row r="23" spans="1:14" ht="15.5" customHeight="1" x14ac:dyDescent="0.3">
      <c r="A23" s="9"/>
      <c r="B23" s="44" t="s">
        <v>59</v>
      </c>
      <c r="C23" s="196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61"/>
      <c r="N23" s="6"/>
    </row>
    <row r="24" spans="1:14" ht="15.75" customHeight="1" x14ac:dyDescent="0.3">
      <c r="A24" s="9"/>
      <c r="B24" s="161" t="s">
        <v>60</v>
      </c>
      <c r="C24" s="293">
        <v>31180</v>
      </c>
      <c r="D24" s="160">
        <v>49241</v>
      </c>
      <c r="E24" s="160">
        <v>32031</v>
      </c>
      <c r="F24" s="160">
        <v>0</v>
      </c>
      <c r="G24" s="160"/>
      <c r="H24" s="160"/>
      <c r="I24" s="160"/>
      <c r="J24" s="160"/>
      <c r="K24" s="160"/>
      <c r="L24" s="160"/>
      <c r="M24" s="266"/>
      <c r="N24" s="6"/>
    </row>
    <row r="25" spans="1:14" ht="15.75" customHeight="1" x14ac:dyDescent="0.3">
      <c r="A25" s="9"/>
      <c r="B25" s="44" t="s">
        <v>61</v>
      </c>
      <c r="C25" s="196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61"/>
      <c r="N25" s="6"/>
    </row>
    <row r="26" spans="1:14" ht="15.75" customHeight="1" x14ac:dyDescent="0.3">
      <c r="A26" s="9"/>
      <c r="B26" s="161" t="s">
        <v>62</v>
      </c>
      <c r="C26" s="195">
        <v>13550</v>
      </c>
      <c r="D26" s="160">
        <v>19736</v>
      </c>
      <c r="E26" s="160">
        <v>7537</v>
      </c>
      <c r="F26" s="160">
        <v>0</v>
      </c>
      <c r="G26" s="160"/>
      <c r="H26" s="160"/>
      <c r="I26" s="160"/>
      <c r="J26" s="160"/>
      <c r="K26" s="160"/>
      <c r="L26" s="160"/>
      <c r="M26" s="26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96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61"/>
      <c r="N28" s="6"/>
    </row>
    <row r="29" spans="1:14" ht="15.75" customHeight="1" x14ac:dyDescent="0.3">
      <c r="A29" s="9"/>
      <c r="B29" s="161" t="s">
        <v>236</v>
      </c>
      <c r="C29" s="195">
        <v>157397300</v>
      </c>
      <c r="D29" s="160">
        <v>155159697</v>
      </c>
      <c r="E29" s="160">
        <v>144915881</v>
      </c>
      <c r="F29" s="160">
        <v>145294012</v>
      </c>
      <c r="G29" s="160"/>
      <c r="H29" s="160"/>
      <c r="I29" s="160"/>
      <c r="J29" s="160"/>
      <c r="K29" s="160"/>
      <c r="L29" s="160"/>
      <c r="M29" s="266"/>
      <c r="N29" s="6"/>
    </row>
    <row r="30" spans="1:14" ht="15.75" customHeight="1" x14ac:dyDescent="0.3">
      <c r="A30" s="9"/>
      <c r="B30" s="44" t="s">
        <v>65</v>
      </c>
      <c r="C30" s="196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61"/>
      <c r="N30" s="6"/>
    </row>
    <row r="31" spans="1:14" ht="15.75" customHeight="1" x14ac:dyDescent="0.3">
      <c r="A31" s="9"/>
      <c r="B31" s="44" t="s">
        <v>260</v>
      </c>
      <c r="C31" s="196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6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68">
        <f>IF(D7="","",(C7-D7)*Asset_Model!$D$65)</f>
        <v>-1348675.65</v>
      </c>
      <c r="D33" s="268">
        <f>IF(E7="","",(D7-E7)*Asset_Model!$D$65)</f>
        <v>2798768.55</v>
      </c>
      <c r="E33" s="268">
        <f>IF(F7="","",(E7-F7)*Asset_Model!$D$65)</f>
        <v>-318453.59999999998</v>
      </c>
      <c r="F33" s="268" t="str">
        <f>IF(G7="","",(F7-G7)*Asset_Model!$D$65)</f>
        <v/>
      </c>
      <c r="G33" s="268" t="str">
        <f>IF(H7="","",(G7-H7)*Asset_Model!$D$65)</f>
        <v/>
      </c>
      <c r="H33" s="268" t="str">
        <f>IF(I7="","",(H7-I7)*Asset_Model!$D$65)</f>
        <v/>
      </c>
      <c r="I33" s="268" t="str">
        <f>IF(J7="","",(I7-J7)*Asset_Model!$D$65)</f>
        <v/>
      </c>
      <c r="J33" s="268" t="str">
        <f>IF(K7="","",(J7-K7)*Asset_Model!$D$65)</f>
        <v/>
      </c>
      <c r="K33" s="268" t="str">
        <f>IF(L7="","",(K7-L7)*Asset_Model!$D$65)</f>
        <v/>
      </c>
      <c r="L33" s="268" t="str">
        <f>IF(M7="","",(L7-M7)*Asset_Model!$D$65)</f>
        <v/>
      </c>
      <c r="M33" s="269" t="str">
        <f>IF(N7="","",(M7-N7)*Asset_Model!$D$65)</f>
        <v/>
      </c>
      <c r="N33" s="6"/>
    </row>
    <row r="34" spans="1:14" ht="15.75" customHeight="1" x14ac:dyDescent="0.3">
      <c r="A34" s="9"/>
      <c r="B34" s="44" t="s">
        <v>68</v>
      </c>
      <c r="C34" s="163">
        <f t="shared" ref="C34:M34" si="11">IF(D7="","",C30-D30+C33)</f>
        <v>-1439670.65</v>
      </c>
      <c r="D34" s="163">
        <f t="shared" si="11"/>
        <v>2807761.55</v>
      </c>
      <c r="E34" s="163">
        <f t="shared" si="11"/>
        <v>829600.4</v>
      </c>
      <c r="F34" s="163" t="str">
        <f t="shared" si="11"/>
        <v/>
      </c>
      <c r="G34" s="163" t="str">
        <f t="shared" si="11"/>
        <v/>
      </c>
      <c r="H34" s="163" t="str">
        <f t="shared" si="11"/>
        <v/>
      </c>
      <c r="I34" s="163" t="str">
        <f t="shared" si="11"/>
        <v/>
      </c>
      <c r="J34" s="163" t="str">
        <f t="shared" si="11"/>
        <v/>
      </c>
      <c r="K34" s="163" t="str">
        <f t="shared" si="11"/>
        <v/>
      </c>
      <c r="L34" s="163" t="str">
        <f t="shared" si="11"/>
        <v/>
      </c>
      <c r="M34" s="263" t="str">
        <f t="shared" si="11"/>
        <v/>
      </c>
      <c r="N34" s="6"/>
    </row>
    <row r="35" spans="1:14" ht="15.75" customHeight="1" x14ac:dyDescent="0.3">
      <c r="A35" s="9"/>
      <c r="B35" s="267" t="s">
        <v>69</v>
      </c>
      <c r="C35" s="259">
        <f t="shared" ref="C35:M35" si="12">IF(C34="","",C34/C16)</f>
        <v>-0.19494981399022615</v>
      </c>
      <c r="D35" s="259">
        <f t="shared" si="12"/>
        <v>0.22088678866033923</v>
      </c>
      <c r="E35" s="259">
        <f t="shared" si="12"/>
        <v>0.31838361292308331</v>
      </c>
      <c r="F35" s="259" t="str">
        <f t="shared" si="12"/>
        <v/>
      </c>
      <c r="G35" s="259" t="str">
        <f t="shared" si="12"/>
        <v/>
      </c>
      <c r="H35" s="259" t="str">
        <f t="shared" si="12"/>
        <v/>
      </c>
      <c r="I35" s="259" t="str">
        <f t="shared" si="12"/>
        <v/>
      </c>
      <c r="J35" s="259" t="str">
        <f t="shared" si="12"/>
        <v/>
      </c>
      <c r="K35" s="259" t="str">
        <f t="shared" si="12"/>
        <v/>
      </c>
      <c r="L35" s="259" t="str">
        <f t="shared" si="12"/>
        <v/>
      </c>
      <c r="M35" s="260" t="str">
        <f t="shared" si="12"/>
        <v/>
      </c>
      <c r="N35" s="6"/>
    </row>
    <row r="36" spans="1:14" ht="15.75" customHeight="1" x14ac:dyDescent="0.3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88" t="s">
        <v>283</v>
      </c>
      <c r="C37" s="185">
        <v>3053687</v>
      </c>
      <c r="D37" s="185">
        <v>508443</v>
      </c>
      <c r="E37" s="185">
        <v>1287845</v>
      </c>
      <c r="F37" s="185">
        <v>822878</v>
      </c>
      <c r="G37" s="185"/>
      <c r="H37" s="185"/>
      <c r="I37" s="185"/>
      <c r="J37" s="185"/>
      <c r="K37" s="185"/>
      <c r="L37" s="185"/>
      <c r="M37" s="186"/>
      <c r="N37" s="6"/>
    </row>
    <row r="38" spans="1:14" ht="15.75" customHeight="1" x14ac:dyDescent="0.3">
      <c r="A38" s="9"/>
      <c r="B38" s="162" t="s">
        <v>71</v>
      </c>
      <c r="C38" s="184">
        <v>0</v>
      </c>
      <c r="D38" s="184">
        <v>0</v>
      </c>
      <c r="E38" s="184">
        <v>0</v>
      </c>
      <c r="F38" s="184">
        <v>0</v>
      </c>
      <c r="G38" s="184"/>
      <c r="H38" s="184"/>
      <c r="I38" s="184"/>
      <c r="J38" s="184"/>
      <c r="K38" s="184"/>
      <c r="L38" s="184"/>
      <c r="M38" s="187"/>
      <c r="N38" s="6"/>
    </row>
    <row r="39" spans="1:14" ht="15.75" customHeight="1" x14ac:dyDescent="0.3">
      <c r="A39" s="9"/>
      <c r="B39" s="162" t="s">
        <v>232</v>
      </c>
      <c r="C39" s="190">
        <f t="shared" ref="C39:M39" si="13">IF(C37="","",C37*$C$4/Common_Shares)</f>
        <v>0.37881003502017729</v>
      </c>
      <c r="D39" s="190">
        <f t="shared" si="13"/>
        <v>6.3072381234803701E-2</v>
      </c>
      <c r="E39" s="190">
        <f t="shared" si="13"/>
        <v>0.15975724085361737</v>
      </c>
      <c r="F39" s="190">
        <f t="shared" si="13"/>
        <v>0.10207805973478404</v>
      </c>
      <c r="G39" s="190" t="str">
        <f t="shared" si="13"/>
        <v/>
      </c>
      <c r="H39" s="190" t="str">
        <f t="shared" si="13"/>
        <v/>
      </c>
      <c r="I39" s="190" t="str">
        <f t="shared" si="13"/>
        <v/>
      </c>
      <c r="J39" s="190" t="str">
        <f t="shared" si="13"/>
        <v/>
      </c>
      <c r="K39" s="190" t="str">
        <f t="shared" si="13"/>
        <v/>
      </c>
      <c r="L39" s="190" t="str">
        <f t="shared" si="13"/>
        <v/>
      </c>
      <c r="M39" s="191" t="str">
        <f t="shared" si="13"/>
        <v/>
      </c>
      <c r="N39" s="6"/>
    </row>
    <row r="40" spans="1:14" ht="15.75" customHeight="1" x14ac:dyDescent="0.3">
      <c r="A40" s="9"/>
      <c r="B40" s="189" t="s">
        <v>233</v>
      </c>
      <c r="C40" s="192">
        <f t="shared" ref="C40:M40" si="14">IF(C38="","",C38*$C$4/Common_Shares)</f>
        <v>0</v>
      </c>
      <c r="D40" s="192">
        <f t="shared" si="14"/>
        <v>0</v>
      </c>
      <c r="E40" s="192">
        <f t="shared" si="14"/>
        <v>0</v>
      </c>
      <c r="F40" s="192">
        <f t="shared" si="14"/>
        <v>0</v>
      </c>
      <c r="G40" s="192" t="str">
        <f t="shared" si="14"/>
        <v/>
      </c>
      <c r="H40" s="192" t="str">
        <f t="shared" si="14"/>
        <v/>
      </c>
      <c r="I40" s="192" t="str">
        <f t="shared" si="14"/>
        <v/>
      </c>
      <c r="J40" s="192" t="str">
        <f t="shared" si="14"/>
        <v/>
      </c>
      <c r="K40" s="192" t="str">
        <f t="shared" si="14"/>
        <v/>
      </c>
      <c r="L40" s="192" t="str">
        <f t="shared" si="14"/>
        <v/>
      </c>
      <c r="M40" s="193" t="str">
        <f t="shared" si="14"/>
        <v/>
      </c>
      <c r="N40" s="6"/>
    </row>
    <row r="41" spans="1:14" ht="15.75" customHeight="1" x14ac:dyDescent="0.3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73</v>
      </c>
      <c r="C42" s="48">
        <f>IF(C29="","",C25/C28)</f>
        <v>1.7786907751741209E-2</v>
      </c>
      <c r="D42" s="48">
        <f t="shared" ref="D42:M42" si="15">IF(D29="","",D25/D29)</f>
        <v>2.6627726657651309E-2</v>
      </c>
      <c r="E42" s="48">
        <f t="shared" si="15"/>
        <v>4.236338320987746E-2</v>
      </c>
      <c r="F42" s="48">
        <f t="shared" si="15"/>
        <v>4.6494393726287907E-2</v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29" t="str">
        <f t="shared" si="15"/>
        <v/>
      </c>
      <c r="N42" s="6"/>
    </row>
    <row r="43" spans="1:14" ht="15.75" customHeight="1" x14ac:dyDescent="0.3">
      <c r="A43" s="9"/>
      <c r="B43" s="44" t="s">
        <v>278</v>
      </c>
      <c r="C43" s="14">
        <f t="shared" ref="C43:M43" si="16">IF(C29="","",C27/C29)</f>
        <v>3.2396387993949068E-2</v>
      </c>
      <c r="D43" s="14">
        <f t="shared" si="16"/>
        <v>4.5280695540414723E-2</v>
      </c>
      <c r="E43" s="14">
        <f t="shared" si="16"/>
        <v>4.8325649001850941E-2</v>
      </c>
      <c r="F43" s="14">
        <f t="shared" si="16"/>
        <v>4.6494393726287907E-2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0" t="str">
        <f t="shared" si="16"/>
        <v/>
      </c>
      <c r="N43" s="6"/>
    </row>
    <row r="44" spans="1:14" ht="15.75" customHeight="1" x14ac:dyDescent="0.3">
      <c r="A44" s="9"/>
      <c r="B44" s="44" t="s">
        <v>74</v>
      </c>
      <c r="C44" s="50">
        <f t="shared" ref="C44:M44" si="17">IF(C14="","",IF(C27&lt;=0,"-",C14/C27))</f>
        <v>1.4482597334747438</v>
      </c>
      <c r="D44" s="50">
        <f t="shared" si="17"/>
        <v>1.8092495323267772</v>
      </c>
      <c r="E44" s="50">
        <f t="shared" si="17"/>
        <v>0.37206992734987693</v>
      </c>
      <c r="F44" s="50">
        <f t="shared" si="17"/>
        <v>0.52674018560381042</v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1" t="str">
        <f t="shared" si="17"/>
        <v/>
      </c>
      <c r="N44" s="6"/>
    </row>
    <row r="45" spans="1:14" ht="15.75" customHeight="1" x14ac:dyDescent="0.3">
      <c r="A45" s="9"/>
      <c r="B45" s="44" t="s">
        <v>75</v>
      </c>
      <c r="C45" s="14">
        <f t="shared" ref="C45:M45" si="18">IF(C16="","",IF(C18&lt;=0,"-",C18/C16))</f>
        <v>3.6943316343091043E-3</v>
      </c>
      <c r="D45" s="14">
        <f t="shared" si="18"/>
        <v>3.1377556137976285E-3</v>
      </c>
      <c r="E45" s="14">
        <f t="shared" si="18"/>
        <v>1.2183847258835851E-2</v>
      </c>
      <c r="F45" s="14">
        <f t="shared" si="18"/>
        <v>1.6897871410031368E-2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0" t="str">
        <f t="shared" si="18"/>
        <v/>
      </c>
      <c r="N45" s="6"/>
    </row>
    <row r="46" spans="1:14" ht="15.75" customHeight="1" x14ac:dyDescent="0.3">
      <c r="A46" s="9"/>
      <c r="B46" s="46" t="s">
        <v>76</v>
      </c>
      <c r="C46" s="51">
        <f t="shared" ref="C46:M46" si="19">IF(C21="","",C21/C22)</f>
        <v>4.7286852934645554</v>
      </c>
      <c r="D46" s="51">
        <f t="shared" si="19"/>
        <v>4.1639487695683695</v>
      </c>
      <c r="E46" s="51">
        <f t="shared" si="19"/>
        <v>2.4874071826139219</v>
      </c>
      <c r="F46" s="51">
        <f t="shared" si="19"/>
        <v>2.9364777556252051</v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2" t="str">
        <f t="shared" si="19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77</v>
      </c>
      <c r="C48" s="52"/>
      <c r="D48" s="52"/>
      <c r="E48" s="52"/>
      <c r="F48" s="52"/>
    </row>
    <row r="49" spans="1:6" ht="15" customHeight="1" x14ac:dyDescent="0.3">
      <c r="A49" s="9"/>
      <c r="B49" s="53" t="s">
        <v>78</v>
      </c>
      <c r="C49" s="6"/>
      <c r="D49" s="442" t="s">
        <v>79</v>
      </c>
      <c r="E49" s="372"/>
      <c r="F49" s="6"/>
    </row>
    <row r="50" spans="1:6" ht="15" customHeight="1" x14ac:dyDescent="0.3">
      <c r="A50" s="9"/>
      <c r="B50" s="53"/>
      <c r="D50" s="23"/>
      <c r="E50" s="23"/>
    </row>
    <row r="51" spans="1:6" ht="15.75" customHeight="1" x14ac:dyDescent="0.3">
      <c r="A51" s="9"/>
      <c r="B51" s="54" t="s">
        <v>80</v>
      </c>
      <c r="C51" s="55"/>
      <c r="D51" s="443">
        <v>5</v>
      </c>
      <c r="E51" s="444"/>
      <c r="F51" s="56"/>
    </row>
    <row r="52" spans="1:6" ht="15.75" customHeight="1" x14ac:dyDescent="0.3">
      <c r="A52" s="9"/>
      <c r="B52" s="57" t="s">
        <v>81</v>
      </c>
      <c r="C52" s="58" t="s">
        <v>82</v>
      </c>
      <c r="D52" s="445" t="s">
        <v>83</v>
      </c>
      <c r="E52" s="446"/>
      <c r="F52" s="59" t="s">
        <v>84</v>
      </c>
    </row>
    <row r="53" spans="1:6" ht="15.75" customHeight="1" x14ac:dyDescent="0.3">
      <c r="A53" s="9"/>
      <c r="B53" s="60">
        <f>C6</f>
        <v>44742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 x14ac:dyDescent="0.3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 x14ac:dyDescent="0.3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 x14ac:dyDescent="0.3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 x14ac:dyDescent="0.3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 x14ac:dyDescent="0.3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 x14ac:dyDescent="0.3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 x14ac:dyDescent="0.3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 x14ac:dyDescent="0.3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 x14ac:dyDescent="0.3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 x14ac:dyDescent="0.3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 x14ac:dyDescent="0.3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 x14ac:dyDescent="0.3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 x14ac:dyDescent="0.3">
      <c r="A66" s="9"/>
      <c r="B66" s="66"/>
      <c r="C66" s="53"/>
      <c r="D66" s="53"/>
      <c r="E66" s="53"/>
      <c r="F66" s="67"/>
    </row>
    <row r="67" spans="1:6" ht="15.75" customHeight="1" x14ac:dyDescent="0.3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 x14ac:dyDescent="0.3">
      <c r="A68" s="9"/>
      <c r="B68" s="66" t="s">
        <v>91</v>
      </c>
      <c r="C68" s="72">
        <f>C14</f>
        <v>7384827</v>
      </c>
      <c r="D68" s="72">
        <f>C68+C53-F65</f>
        <v>7384827</v>
      </c>
      <c r="E68" s="53" t="s">
        <v>92</v>
      </c>
      <c r="F68" s="67" t="s">
        <v>93</v>
      </c>
    </row>
    <row r="69" spans="1:6" ht="15.75" customHeight="1" x14ac:dyDescent="0.3">
      <c r="A69" s="9"/>
      <c r="B69" s="66" t="s">
        <v>94</v>
      </c>
      <c r="C69" s="73">
        <f t="shared" ref="C69:D69" si="24">C68/$C$7</f>
        <v>0.47478104591089182</v>
      </c>
      <c r="D69" s="73">
        <f t="shared" si="24"/>
        <v>0.47478104591089182</v>
      </c>
      <c r="E69" s="53" t="s">
        <v>95</v>
      </c>
      <c r="F69" s="67" t="s">
        <v>96</v>
      </c>
    </row>
    <row r="70" spans="1:6" ht="15.75" customHeight="1" x14ac:dyDescent="0.3">
      <c r="A70" s="9"/>
      <c r="B70" s="66" t="s">
        <v>97</v>
      </c>
      <c r="C70" s="72">
        <f>C34</f>
        <v>-1439670.65</v>
      </c>
      <c r="D70" s="72">
        <f>C70+E64-F65</f>
        <v>-1439670.65</v>
      </c>
      <c r="E70" s="53" t="s">
        <v>98</v>
      </c>
      <c r="F70" s="67" t="s">
        <v>99</v>
      </c>
    </row>
    <row r="71" spans="1:6" ht="15.75" customHeight="1" x14ac:dyDescent="0.3">
      <c r="A71" s="9"/>
      <c r="B71" s="66" t="s">
        <v>100</v>
      </c>
      <c r="C71" s="72">
        <f>C16</f>
        <v>7384827</v>
      </c>
      <c r="D71" s="72">
        <f>C71+C54</f>
        <v>7384827</v>
      </c>
      <c r="E71" s="53" t="s">
        <v>101</v>
      </c>
      <c r="F71" s="67" t="s">
        <v>102</v>
      </c>
    </row>
    <row r="72" spans="1:6" ht="15.75" customHeight="1" x14ac:dyDescent="0.3">
      <c r="A72" s="9"/>
      <c r="B72" s="66" t="s">
        <v>103</v>
      </c>
      <c r="C72" s="72">
        <f>F3</f>
        <v>5735396</v>
      </c>
      <c r="D72" s="72">
        <f>C72+C53-F65</f>
        <v>5735396</v>
      </c>
      <c r="E72" s="53" t="s">
        <v>104</v>
      </c>
      <c r="F72" s="67" t="s">
        <v>102</v>
      </c>
    </row>
    <row r="73" spans="1:6" ht="15.75" customHeight="1" x14ac:dyDescent="0.3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 x14ac:dyDescent="0.3">
      <c r="A74" s="9"/>
      <c r="B74" s="53"/>
      <c r="C74" s="77"/>
      <c r="D74" s="77"/>
    </row>
    <row r="75" spans="1:6" ht="15.75" customHeight="1" x14ac:dyDescent="0.3">
      <c r="A75" s="9"/>
      <c r="B75" s="53"/>
      <c r="C75" s="77"/>
      <c r="D75" s="77"/>
    </row>
    <row r="76" spans="1:6" ht="15.75" customHeight="1" x14ac:dyDescent="0.3">
      <c r="A76" s="9"/>
      <c r="B76" s="53"/>
      <c r="C76" s="77"/>
      <c r="D76" s="77"/>
    </row>
    <row r="77" spans="1:6" ht="15.75" customHeight="1" x14ac:dyDescent="0.3">
      <c r="A77" s="9"/>
      <c r="B77" s="53"/>
      <c r="C77" s="78"/>
      <c r="D77" s="78"/>
    </row>
    <row r="78" spans="1:6" ht="15.75" customHeight="1" x14ac:dyDescent="0.3">
      <c r="A78" s="9"/>
      <c r="B78" s="53"/>
      <c r="C78" s="77"/>
      <c r="D78" s="77"/>
    </row>
    <row r="79" spans="1:6" ht="15.75" customHeight="1" x14ac:dyDescent="0.3">
      <c r="A79" s="9"/>
      <c r="B79" s="53"/>
      <c r="C79" s="78"/>
      <c r="D79" s="78"/>
    </row>
    <row r="80" spans="1:6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/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</sheetData>
  <mergeCells count="3">
    <mergeCell ref="D49:E49"/>
    <mergeCell ref="D51:E51"/>
    <mergeCell ref="D52:E52"/>
  </mergeCells>
  <conditionalFormatting sqref="B51:F73">
    <cfRule type="expression" dxfId="10" priority="1">
      <formula>$D$49="No"</formula>
    </cfRule>
  </conditionalFormatting>
  <conditionalFormatting sqref="D42:M46 C7:M35">
    <cfRule type="containsBlanks" dxfId="9" priority="2">
      <formula>LEN(TRIM(C7))=0</formula>
    </cfRule>
  </conditionalFormatting>
  <conditionalFormatting sqref="D17:M18">
    <cfRule type="containsBlanks" dxfId="8" priority="3">
      <formula>LEN(TRIM(D17))=0</formula>
    </cfRule>
  </conditionalFormatting>
  <conditionalFormatting sqref="C37:M40">
    <cfRule type="containsBlanks" dxfId="7" priority="4">
      <formula>LEN(TRIM(C37))=0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H53" sqref="H53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87" t="s">
        <v>107</v>
      </c>
      <c r="C2" s="287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284</v>
      </c>
      <c r="C3" s="6"/>
      <c r="D3" s="294">
        <v>160090995.734</v>
      </c>
      <c r="E3" s="176" t="str">
        <f>IF((C46-I46)=D3,"", "Error!")</f>
        <v/>
      </c>
      <c r="F3" s="6"/>
      <c r="G3" s="6"/>
      <c r="H3" s="295" t="s">
        <v>285</v>
      </c>
      <c r="I3" s="296">
        <v>159323330.11500001</v>
      </c>
    </row>
    <row r="4" spans="1:10" ht="15" customHeight="1" x14ac:dyDescent="0.3">
      <c r="B4" s="5" t="s">
        <v>251</v>
      </c>
      <c r="C4" s="6"/>
      <c r="D4" s="297">
        <f>D3-I3</f>
        <v>767665.61899998784</v>
      </c>
      <c r="E4" s="170"/>
      <c r="F4" s="6"/>
      <c r="G4" s="6"/>
      <c r="H4" s="81" t="s">
        <v>108</v>
      </c>
      <c r="I4" s="112">
        <f>(I3*Dashboard!I12*Data!C4)/Dashboard!I5</f>
        <v>19.764067587933674</v>
      </c>
    </row>
    <row r="5" spans="1:10" ht="15" customHeight="1" x14ac:dyDescent="0.3">
      <c r="D5" s="6"/>
      <c r="E5" s="23" t="s">
        <v>109</v>
      </c>
      <c r="I5" s="6"/>
    </row>
    <row r="6" spans="1:10" ht="15" customHeight="1" x14ac:dyDescent="0.3">
      <c r="B6" s="79" t="s">
        <v>110</v>
      </c>
      <c r="C6" s="6"/>
      <c r="D6" s="80">
        <f>E46-I46-E50</f>
        <v>110593765.90551001</v>
      </c>
      <c r="E6" s="14">
        <f>1-D6/D3</f>
        <v>0.3091818474958602</v>
      </c>
      <c r="F6" s="6"/>
      <c r="G6" s="6"/>
      <c r="H6" s="3" t="s">
        <v>347</v>
      </c>
      <c r="I6" s="90">
        <f>C26/I26</f>
        <v>4.8817709652895234</v>
      </c>
      <c r="J6" s="6"/>
    </row>
    <row r="7" spans="1:10" ht="15" customHeight="1" x14ac:dyDescent="0.3">
      <c r="B7" s="53" t="s">
        <v>111</v>
      </c>
      <c r="D7" s="82">
        <f>MAX((D6*Exchange_Rate*Data!C4)/Dashboard!I5, 0)</f>
        <v>13.719162551918235</v>
      </c>
      <c r="E7" s="49" t="str">
        <f>Dashboard!J4</f>
        <v>HKD</v>
      </c>
      <c r="H7" s="3" t="s">
        <v>348</v>
      </c>
      <c r="I7" s="90">
        <f>C25/I26</f>
        <v>3.7089690853896293</v>
      </c>
      <c r="J7" s="6"/>
    </row>
    <row r="8" spans="1:10" ht="15" customHeight="1" x14ac:dyDescent="0.3">
      <c r="D8" s="6"/>
      <c r="H8" s="3" t="s">
        <v>349</v>
      </c>
      <c r="I8" s="90">
        <f>C24/I26</f>
        <v>3.2145491810156961</v>
      </c>
    </row>
    <row r="9" spans="1:10" ht="15" customHeight="1" x14ac:dyDescent="0.3">
      <c r="A9" s="4"/>
      <c r="B9" s="288" t="s">
        <v>280</v>
      </c>
      <c r="C9" s="275"/>
      <c r="D9" s="292">
        <v>44926</v>
      </c>
      <c r="E9" s="289" t="str">
        <f>IF(D9=Data!C3,"FY","Quarter")</f>
        <v>Quarter</v>
      </c>
      <c r="F9" s="153"/>
      <c r="G9" s="153"/>
      <c r="H9" s="153"/>
      <c r="I9" s="153"/>
    </row>
    <row r="10" spans="1:10" ht="15" customHeight="1" x14ac:dyDescent="0.3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267</v>
      </c>
      <c r="G10" s="6"/>
      <c r="H10" s="84" t="s">
        <v>116</v>
      </c>
      <c r="I10" s="23" t="s">
        <v>113</v>
      </c>
    </row>
    <row r="11" spans="1:10" ht="15" customHeight="1" x14ac:dyDescent="0.3">
      <c r="B11" s="5" t="s">
        <v>117</v>
      </c>
      <c r="C11" s="85">
        <v>3379024.0260000001</v>
      </c>
      <c r="D11" s="86">
        <v>1</v>
      </c>
      <c r="E11" s="27">
        <f t="shared" ref="E11:E21" si="0">C11*D11</f>
        <v>3379024.0260000001</v>
      </c>
      <c r="F11" s="6"/>
      <c r="G11" s="6"/>
      <c r="H11" s="5" t="s">
        <v>118</v>
      </c>
      <c r="I11" s="85">
        <v>2230528</v>
      </c>
      <c r="J11" s="6"/>
    </row>
    <row r="12" spans="1:10" ht="14" x14ac:dyDescent="0.3">
      <c r="B12" s="3" t="s">
        <v>119</v>
      </c>
      <c r="C12" s="85">
        <v>41083645.866999999</v>
      </c>
      <c r="D12" s="86">
        <v>0.98</v>
      </c>
      <c r="E12" s="27">
        <f t="shared" si="0"/>
        <v>40261972.949659996</v>
      </c>
      <c r="F12" s="6"/>
      <c r="G12" s="6"/>
      <c r="H12" s="5" t="s">
        <v>120</v>
      </c>
      <c r="I12" s="85">
        <v>40711.811999999998</v>
      </c>
      <c r="J12" s="6"/>
    </row>
    <row r="13" spans="1:10" ht="14" x14ac:dyDescent="0.3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1695386.811</v>
      </c>
      <c r="J13" s="6"/>
    </row>
    <row r="14" spans="1:10" ht="14" x14ac:dyDescent="0.3">
      <c r="B14" s="5" t="s">
        <v>123</v>
      </c>
      <c r="C14" s="85">
        <v>9150.4850000000006</v>
      </c>
      <c r="D14" s="86">
        <v>0.6</v>
      </c>
      <c r="E14" s="27">
        <f t="shared" si="0"/>
        <v>5490.2910000000002</v>
      </c>
      <c r="F14" s="6"/>
      <c r="G14" s="6"/>
      <c r="H14" s="3" t="s">
        <v>124</v>
      </c>
      <c r="I14" s="85">
        <v>0</v>
      </c>
      <c r="J14" s="6"/>
    </row>
    <row r="15" spans="1:10" ht="14" x14ac:dyDescent="0.3">
      <c r="B15" s="5" t="s">
        <v>125</v>
      </c>
      <c r="C15" s="85">
        <v>0</v>
      </c>
      <c r="D15" s="86">
        <v>0.8</v>
      </c>
      <c r="E15" s="27">
        <f t="shared" si="0"/>
        <v>0</v>
      </c>
      <c r="G15" s="6"/>
      <c r="H15" s="5" t="s">
        <v>126</v>
      </c>
      <c r="I15" s="175">
        <f>I26-SUM(I11:I14)</f>
        <v>9867916.8460000008</v>
      </c>
      <c r="J15" s="6"/>
    </row>
    <row r="16" spans="1:10" ht="14" x14ac:dyDescent="0.3">
      <c r="B16" s="3" t="s">
        <v>124</v>
      </c>
      <c r="C16" s="85">
        <v>0</v>
      </c>
      <c r="D16" s="86">
        <v>0.5</v>
      </c>
      <c r="E16" s="27">
        <f t="shared" si="0"/>
        <v>0</v>
      </c>
      <c r="F16" s="224" t="s">
        <v>268</v>
      </c>
      <c r="G16" s="115">
        <f>IF(F16="Y",0,1)</f>
        <v>0</v>
      </c>
      <c r="H16" s="5"/>
      <c r="I16" s="174"/>
      <c r="J16" s="6"/>
    </row>
    <row r="17" spans="2:10" ht="14" x14ac:dyDescent="0.3">
      <c r="B17" s="5" t="s">
        <v>127</v>
      </c>
      <c r="C17" s="85">
        <v>6840073.6589999991</v>
      </c>
      <c r="D17" s="86">
        <v>0.6</v>
      </c>
      <c r="E17" s="27">
        <f t="shared" si="0"/>
        <v>4104044.1953999992</v>
      </c>
      <c r="F17" s="6"/>
      <c r="G17" s="6"/>
      <c r="H17" s="5"/>
      <c r="I17" s="174"/>
      <c r="J17" s="6"/>
    </row>
    <row r="18" spans="2:10" ht="14" x14ac:dyDescent="0.3">
      <c r="B18" s="5" t="s">
        <v>128</v>
      </c>
      <c r="C18" s="85">
        <v>13046.883</v>
      </c>
      <c r="D18" s="86">
        <v>0.7</v>
      </c>
      <c r="E18" s="27">
        <f t="shared" si="0"/>
        <v>9132.8180999999986</v>
      </c>
      <c r="G18" s="6"/>
    </row>
    <row r="19" spans="2:10" ht="14" x14ac:dyDescent="0.3">
      <c r="B19" s="3" t="s">
        <v>129</v>
      </c>
      <c r="C19" s="85">
        <v>8609555.8550000004</v>
      </c>
      <c r="D19" s="86">
        <v>0.8</v>
      </c>
      <c r="E19" s="27">
        <f t="shared" si="0"/>
        <v>6887644.6840000004</v>
      </c>
      <c r="F19" s="224" t="s">
        <v>268</v>
      </c>
      <c r="G19" s="115">
        <f>IF(F19="Y",0,1)</f>
        <v>0</v>
      </c>
      <c r="H19" s="5"/>
      <c r="I19" s="174"/>
    </row>
    <row r="20" spans="2:10" ht="14" x14ac:dyDescent="0.3">
      <c r="B20" s="5" t="s">
        <v>130</v>
      </c>
      <c r="C20" s="85">
        <v>7527029.5259999996</v>
      </c>
      <c r="D20" s="86">
        <v>0.7</v>
      </c>
      <c r="E20" s="27">
        <f t="shared" si="0"/>
        <v>5268920.6681999993</v>
      </c>
      <c r="F20" s="224" t="s">
        <v>268</v>
      </c>
      <c r="G20" s="115">
        <f>IF(F20="Y",0,1)</f>
        <v>0</v>
      </c>
      <c r="H20" s="5"/>
      <c r="I20" s="174"/>
    </row>
    <row r="21" spans="2:10" ht="14" x14ac:dyDescent="0.3">
      <c r="B21" s="5" t="s">
        <v>131</v>
      </c>
      <c r="C21" s="85">
        <v>75546.323999999993</v>
      </c>
      <c r="D21" s="86">
        <v>0.95</v>
      </c>
      <c r="E21" s="27">
        <f t="shared" si="0"/>
        <v>71769.007799999992</v>
      </c>
      <c r="F21" s="6"/>
      <c r="G21" s="6"/>
      <c r="H21" s="5"/>
      <c r="I21" s="174"/>
    </row>
    <row r="22" spans="2:10" ht="15" customHeight="1" x14ac:dyDescent="0.3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87" t="s">
        <v>133</v>
      </c>
      <c r="C24" s="91">
        <f>SUM(C11:C14)</f>
        <v>44471820.377999999</v>
      </c>
      <c r="D24" s="89">
        <f>IF(E24=0,0,E24/C24)</f>
        <v>0.98144143630000158</v>
      </c>
      <c r="E24" s="27">
        <f>SUM(E11:E14)</f>
        <v>43646487.266659997</v>
      </c>
      <c r="F24" s="6"/>
      <c r="G24" s="6"/>
      <c r="H24" s="87" t="s">
        <v>350</v>
      </c>
      <c r="I24" s="90">
        <f>E24/($I$26-I15)</f>
        <v>11.003427197705268</v>
      </c>
      <c r="J24" s="13" t="str">
        <f>IF(I24&lt;1,"Liquidity Problem!","")</f>
        <v/>
      </c>
    </row>
    <row r="25" spans="2:10" ht="15" customHeight="1" x14ac:dyDescent="0.3">
      <c r="B25" s="87" t="s">
        <v>134</v>
      </c>
      <c r="C25" s="91">
        <f>C24+SUM(C15:C17)</f>
        <v>51311894.037</v>
      </c>
      <c r="D25" s="89">
        <f>IF(E25=0,0,E25/C25)</f>
        <v>0.93059381958553367</v>
      </c>
      <c r="E25" s="27">
        <f>E24+SUM(E15:E17)</f>
        <v>47750531.462059997</v>
      </c>
      <c r="F25" s="6"/>
      <c r="G25" s="6"/>
      <c r="H25" s="87" t="s">
        <v>351</v>
      </c>
      <c r="I25" s="90">
        <f>E25/$I$26</f>
        <v>3.4515437078973985</v>
      </c>
      <c r="J25" s="13" t="str">
        <f>IF(OR(I25&lt;0.6,C26&lt;I26),"Liquidity Problem!","")</f>
        <v/>
      </c>
    </row>
    <row r="26" spans="2:10" ht="15" customHeight="1" x14ac:dyDescent="0.3">
      <c r="B26" s="5" t="s">
        <v>135</v>
      </c>
      <c r="C26" s="91">
        <f>SUM(C11:C22)</f>
        <v>67537072.625</v>
      </c>
      <c r="D26" s="14">
        <f t="shared" ref="D26" si="2">E26/C26</f>
        <v>0.88822325736923358</v>
      </c>
      <c r="E26" s="27">
        <f>SUM(E11:E22)</f>
        <v>59987998.640159994</v>
      </c>
      <c r="H26" s="5" t="s">
        <v>58</v>
      </c>
      <c r="I26" s="85">
        <v>13834543.469000001</v>
      </c>
    </row>
    <row r="27" spans="2:10" ht="15" customHeight="1" x14ac:dyDescent="0.3">
      <c r="C27" s="6"/>
      <c r="D27" s="6"/>
      <c r="E27" s="6"/>
      <c r="F27" s="30" t="s">
        <v>267</v>
      </c>
      <c r="G27" s="6"/>
      <c r="I27" s="6"/>
      <c r="J27" s="6"/>
    </row>
    <row r="28" spans="2:10" ht="15" customHeight="1" x14ac:dyDescent="0.3">
      <c r="B28" s="5" t="s">
        <v>136</v>
      </c>
      <c r="C28" s="85">
        <v>0</v>
      </c>
      <c r="D28" s="86">
        <v>0.95</v>
      </c>
      <c r="E28" s="27">
        <v>0</v>
      </c>
      <c r="F28" s="6"/>
      <c r="G28" s="6"/>
      <c r="H28" s="5" t="s">
        <v>137</v>
      </c>
      <c r="I28" s="85">
        <v>997248.75199999998</v>
      </c>
      <c r="J28" s="6"/>
    </row>
    <row r="29" spans="2:10" ht="15" customHeight="1" x14ac:dyDescent="0.3">
      <c r="B29" s="5" t="s">
        <v>138</v>
      </c>
      <c r="C29" s="85">
        <v>941238.06900000002</v>
      </c>
      <c r="D29" s="86">
        <v>0.6</v>
      </c>
      <c r="E29" s="27">
        <f t="shared" ref="E29:E40" si="3">C29*D29</f>
        <v>564742.84140000003</v>
      </c>
      <c r="F29" s="6"/>
      <c r="G29" s="6"/>
      <c r="H29" s="5" t="s">
        <v>139</v>
      </c>
      <c r="I29" s="85">
        <v>35896.328000000001</v>
      </c>
      <c r="J29" s="6"/>
    </row>
    <row r="30" spans="2:10" ht="15" customHeight="1" x14ac:dyDescent="0.3">
      <c r="B30" s="5" t="s">
        <v>140</v>
      </c>
      <c r="C30" s="85">
        <v>0</v>
      </c>
      <c r="D30" s="86">
        <v>0</v>
      </c>
      <c r="E30" s="27">
        <f t="shared" si="3"/>
        <v>0</v>
      </c>
      <c r="F30" s="6"/>
      <c r="G30" s="6"/>
      <c r="H30" s="5" t="s">
        <v>142</v>
      </c>
      <c r="I30" s="85">
        <v>1739746.648</v>
      </c>
      <c r="J30" s="6"/>
    </row>
    <row r="31" spans="2:10" ht="14" x14ac:dyDescent="0.3">
      <c r="B31" s="3" t="s">
        <v>141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141</v>
      </c>
      <c r="I31" s="85">
        <v>0</v>
      </c>
      <c r="J31" s="6"/>
    </row>
    <row r="32" spans="2:10" ht="14" x14ac:dyDescent="0.3">
      <c r="B32" s="5" t="s">
        <v>143</v>
      </c>
      <c r="C32" s="85">
        <v>19909711.574000001</v>
      </c>
      <c r="D32" s="86">
        <v>0.4</v>
      </c>
      <c r="E32" s="27">
        <f t="shared" si="3"/>
        <v>7963884.6296000006</v>
      </c>
      <c r="G32" s="6"/>
      <c r="H32" s="5" t="s">
        <v>144</v>
      </c>
      <c r="I32" s="175">
        <f>I42-SUM(I28:I31)</f>
        <v>2692468.8590000002</v>
      </c>
      <c r="J32" s="6"/>
    </row>
    <row r="33" spans="2:10" ht="14" x14ac:dyDescent="0.3">
      <c r="B33" s="5" t="s">
        <v>145</v>
      </c>
      <c r="C33" s="85">
        <v>23060132.886</v>
      </c>
      <c r="D33" s="86">
        <v>0.5</v>
      </c>
      <c r="E33" s="240">
        <f t="shared" si="3"/>
        <v>11530066.443</v>
      </c>
      <c r="F33" s="224" t="s">
        <v>269</v>
      </c>
      <c r="G33" s="115">
        <f>IF(F33="Y",0,1)</f>
        <v>1</v>
      </c>
      <c r="J33" s="6"/>
    </row>
    <row r="34" spans="2:10" ht="14" x14ac:dyDescent="0.3">
      <c r="B34" s="5" t="s">
        <v>146</v>
      </c>
      <c r="C34" s="85">
        <v>66597606.537</v>
      </c>
      <c r="D34" s="86">
        <v>0.75</v>
      </c>
      <c r="E34" s="240">
        <f t="shared" si="3"/>
        <v>49948204.90275</v>
      </c>
      <c r="F34" s="224" t="s">
        <v>268</v>
      </c>
      <c r="G34" s="115">
        <f>IF(F34="Y",0,1)</f>
        <v>0</v>
      </c>
    </row>
    <row r="35" spans="2:10" ht="14" x14ac:dyDescent="0.3">
      <c r="B35" s="3" t="s">
        <v>130</v>
      </c>
      <c r="C35" s="85">
        <v>0</v>
      </c>
      <c r="D35" s="86">
        <v>0.5</v>
      </c>
      <c r="E35" s="27">
        <f t="shared" si="3"/>
        <v>0</v>
      </c>
      <c r="F35" s="224" t="s">
        <v>268</v>
      </c>
      <c r="G35" s="115">
        <f>IF(F35="Y",0,1)</f>
        <v>0</v>
      </c>
    </row>
    <row r="36" spans="2:10" ht="15" customHeight="1" x14ac:dyDescent="0.3">
      <c r="B36" s="5" t="s">
        <v>147</v>
      </c>
      <c r="C36" s="85">
        <v>114740.003</v>
      </c>
      <c r="D36" s="86">
        <v>0.4</v>
      </c>
      <c r="E36" s="27">
        <f t="shared" si="3"/>
        <v>45896.001199999999</v>
      </c>
      <c r="F36" s="6"/>
      <c r="G36" s="6"/>
    </row>
    <row r="37" spans="2:10" ht="14" x14ac:dyDescent="0.3">
      <c r="B37" s="5" t="s">
        <v>148</v>
      </c>
      <c r="C37" s="85">
        <v>1217891.264</v>
      </c>
      <c r="D37" s="86">
        <v>0.5</v>
      </c>
      <c r="E37" s="27">
        <f t="shared" si="3"/>
        <v>608945.63199999998</v>
      </c>
      <c r="F37" s="6"/>
      <c r="G37" s="6"/>
    </row>
    <row r="38" spans="2:10" ht="15" customHeight="1" x14ac:dyDescent="0.3">
      <c r="B38" s="5" t="s">
        <v>149</v>
      </c>
      <c r="C38" s="85">
        <v>0</v>
      </c>
      <c r="D38" s="86">
        <v>0.1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150</v>
      </c>
      <c r="C39" s="85">
        <v>12206.832</v>
      </c>
      <c r="D39" s="86">
        <v>0.95</v>
      </c>
      <c r="E39" s="27">
        <f t="shared" si="3"/>
        <v>11596.490400000001</v>
      </c>
      <c r="F39" s="6"/>
      <c r="G39" s="6"/>
    </row>
    <row r="40" spans="2:10" ht="15" customHeight="1" x14ac:dyDescent="0.3">
      <c r="B40" s="5" t="s">
        <v>151</v>
      </c>
      <c r="C40" s="85">
        <v>300</v>
      </c>
      <c r="D40" s="86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152</v>
      </c>
      <c r="C42" s="88">
        <f>SUM(C28:C40)</f>
        <v>111853827.16500001</v>
      </c>
      <c r="D42" s="14">
        <f>E42/C42</f>
        <v>0.63183655608043676</v>
      </c>
      <c r="E42" s="27">
        <f>SUM(E28:E40)</f>
        <v>70673336.940350011</v>
      </c>
      <c r="F42" s="6"/>
      <c r="G42" s="6"/>
      <c r="H42" s="5" t="s">
        <v>153</v>
      </c>
      <c r="I42" s="85">
        <v>5465360.5870000003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87" t="s">
        <v>154</v>
      </c>
      <c r="C44" s="91">
        <f>C24+SUM(C28:C29)</f>
        <v>45413058.446999997</v>
      </c>
      <c r="D44" s="89">
        <f>IF(E44=0,0,E44/C44)</f>
        <v>0.97353562213074429</v>
      </c>
      <c r="E44" s="27">
        <f>E24+SUM(E28:E29)</f>
        <v>44211230.108059995</v>
      </c>
      <c r="F44" s="6"/>
      <c r="G44" s="6"/>
      <c r="H44" s="87" t="s">
        <v>352</v>
      </c>
      <c r="I44" s="90">
        <f>E44/(I46-I15-I32)</f>
        <v>6.5599984754845266</v>
      </c>
      <c r="J44" s="13" t="str">
        <f>IF(I44&lt;1,"Liquidity Problem!","")</f>
        <v/>
      </c>
    </row>
    <row r="45" spans="2:10" ht="15" customHeight="1" x14ac:dyDescent="0.3">
      <c r="B45" s="87" t="s">
        <v>155</v>
      </c>
      <c r="C45" s="91">
        <f>C44+(C25-C24)+SUM(C30:C33)</f>
        <v>95222976.566</v>
      </c>
      <c r="D45" s="89">
        <f>IF(E45=0,0,E45/C45)</f>
        <v>0.71210991108916599</v>
      </c>
      <c r="E45" s="27">
        <f>E44+(E25-E24)+SUM(E30:E33)</f>
        <v>67809225.376059994</v>
      </c>
      <c r="F45" s="6"/>
      <c r="G45" s="6"/>
      <c r="H45" s="87" t="s">
        <v>353</v>
      </c>
      <c r="I45" s="90">
        <f>E45/$I$46</f>
        <v>3.5134488326629425</v>
      </c>
      <c r="J45" s="13" t="str">
        <f>IF(OR(I45&lt;0.5,C46&lt;I46),"Liquidity Problem!","")</f>
        <v/>
      </c>
    </row>
    <row r="46" spans="2:10" ht="15" customHeight="1" x14ac:dyDescent="0.3">
      <c r="B46" s="5" t="s">
        <v>156</v>
      </c>
      <c r="C46" s="91">
        <f>C26+C42</f>
        <v>179390899.79000002</v>
      </c>
      <c r="D46" s="14">
        <f>E46/C46</f>
        <v>0.72836100233326107</v>
      </c>
      <c r="E46" s="27">
        <f>E26+E42</f>
        <v>130661335.58051001</v>
      </c>
      <c r="F46" s="6"/>
      <c r="G46" s="6"/>
      <c r="H46" s="5" t="s">
        <v>157</v>
      </c>
      <c r="I46" s="175">
        <f>I26+I42</f>
        <v>19299904.056000002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158</v>
      </c>
      <c r="C48" s="21"/>
      <c r="D48" s="52"/>
    </row>
    <row r="49" spans="2:9" ht="14" x14ac:dyDescent="0.3">
      <c r="B49" s="236" t="s">
        <v>235</v>
      </c>
      <c r="C49" s="6"/>
      <c r="D49" s="237" t="str">
        <f>IF(E50=D4,"BV of the MI","P/B Approach")</f>
        <v>BV of the MI</v>
      </c>
      <c r="E49" s="6"/>
    </row>
    <row r="50" spans="2:9" ht="14" x14ac:dyDescent="0.3">
      <c r="B50" s="5" t="s">
        <v>234</v>
      </c>
      <c r="C50" s="238">
        <f>D4</f>
        <v>767665.61899998784</v>
      </c>
      <c r="D50" s="234">
        <f>IF(E50=0, 0,E50/C50)</f>
        <v>1</v>
      </c>
      <c r="E50" s="238">
        <f>MAX(C50,C50*Dashboard!I10)</f>
        <v>767665.61899998784</v>
      </c>
      <c r="I50" s="177"/>
    </row>
    <row r="51" spans="2:9" ht="15" customHeight="1" x14ac:dyDescent="0.3">
      <c r="C51" s="6"/>
      <c r="D51" s="6"/>
      <c r="E51" s="6"/>
    </row>
    <row r="52" spans="2:9" ht="14.5" thickBot="1" x14ac:dyDescent="0.35">
      <c r="B52" s="96" t="s">
        <v>291</v>
      </c>
      <c r="C52" s="5"/>
      <c r="D52" s="447">
        <f>D53+D54+D55</f>
        <v>6739518.3509999998</v>
      </c>
      <c r="E52" s="448"/>
      <c r="F52" s="53"/>
      <c r="G52" s="53"/>
    </row>
    <row r="53" spans="2:9" ht="14.5" thickTop="1" x14ac:dyDescent="0.3">
      <c r="B53" s="79" t="s">
        <v>261</v>
      </c>
      <c r="C53" s="6"/>
      <c r="D53" s="450">
        <f>SUM(I11:I13)+SUM(I28:I30)</f>
        <v>6739518.3509999998</v>
      </c>
      <c r="E53" s="389"/>
      <c r="F53" s="5"/>
      <c r="G53" s="5"/>
      <c r="H53" s="3" t="s">
        <v>354</v>
      </c>
      <c r="I53" s="14">
        <f>D53/I3</f>
        <v>4.2300888050327577E-2</v>
      </c>
    </row>
    <row r="54" spans="2:9" ht="14" x14ac:dyDescent="0.3">
      <c r="B54" s="79" t="s">
        <v>160</v>
      </c>
      <c r="C54" s="6"/>
      <c r="D54" s="457">
        <v>0</v>
      </c>
      <c r="E54" s="372"/>
      <c r="F54" s="6" t="s">
        <v>161</v>
      </c>
      <c r="G54" s="6"/>
    </row>
    <row r="55" spans="2:9" ht="12.75" customHeight="1" x14ac:dyDescent="0.3">
      <c r="B55" s="79" t="s">
        <v>159</v>
      </c>
      <c r="C55" s="6"/>
      <c r="D55" s="457">
        <v>0</v>
      </c>
      <c r="E55" s="372"/>
      <c r="F55" s="5" t="s">
        <v>162</v>
      </c>
      <c r="G55" s="5"/>
    </row>
    <row r="56" spans="2:9" ht="15" customHeight="1" x14ac:dyDescent="0.3">
      <c r="D56" s="6"/>
      <c r="E56" s="6"/>
    </row>
    <row r="57" spans="2:9" ht="14" x14ac:dyDescent="0.3">
      <c r="B57" s="96" t="s">
        <v>163</v>
      </c>
      <c r="C57" s="5"/>
      <c r="D57" s="449"/>
      <c r="E57" s="449"/>
      <c r="F57" s="19"/>
      <c r="G57" s="19"/>
    </row>
    <row r="58" spans="2:9" ht="15" customHeight="1" x14ac:dyDescent="0.3">
      <c r="B58" s="53" t="s">
        <v>262</v>
      </c>
      <c r="C58" s="233">
        <f>C14+C15+(C19*G19)+(C20*G20)+C29+C30+(C33*G33)+(C34*G34)+(C35*G35)</f>
        <v>24010521.440000001</v>
      </c>
      <c r="D58" s="149">
        <f>IF(E58=0,0,E58/C58)</f>
        <v>0.50395821705236565</v>
      </c>
      <c r="E58" s="241">
        <f>E14+E15+(E19*G19)+(E20*G20)+E29+E30+(E33*G33)+(E34*G34)+(E35*G35)</f>
        <v>12100299.5754</v>
      </c>
      <c r="H58" s="6"/>
    </row>
    <row r="59" spans="2:9" ht="14" x14ac:dyDescent="0.3">
      <c r="B59" s="53" t="s">
        <v>117</v>
      </c>
      <c r="C59" s="233">
        <f>C11+C12+C28</f>
        <v>44462669.892999999</v>
      </c>
      <c r="D59" s="234">
        <f>IF(E59=0,0,E59/C59)</f>
        <v>0.98151993752697786</v>
      </c>
      <c r="E59" s="235">
        <f>E11+E12+E28</f>
        <v>43640996.975659996</v>
      </c>
      <c r="F59" s="6"/>
      <c r="G59" s="6"/>
    </row>
    <row r="60" spans="2:9" ht="14" x14ac:dyDescent="0.3">
      <c r="B60" s="53" t="s">
        <v>164</v>
      </c>
      <c r="C60" s="6"/>
      <c r="D60" s="455">
        <f>((Dashboard!I6*Data!C4)+D52+E50-C58-C59)</f>
        <v>22226218.097239994</v>
      </c>
      <c r="E60" s="456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312" t="s">
        <v>290</v>
      </c>
    </row>
    <row r="63" spans="2:9" ht="15" customHeight="1" x14ac:dyDescent="0.3">
      <c r="B63" s="3" t="s">
        <v>293</v>
      </c>
      <c r="D63" s="453">
        <f>((C26-C11-C12-C14-C15-C16*G16-C19*G19-C20*G20)-I26)/Data!C7</f>
        <v>0.5934554144758829</v>
      </c>
      <c r="E63" s="454"/>
    </row>
    <row r="64" spans="2:9" ht="15" customHeight="1" x14ac:dyDescent="0.3">
      <c r="B64" s="3" t="s">
        <v>292</v>
      </c>
      <c r="D64" s="451">
        <v>8.5599999999999996E-2</v>
      </c>
      <c r="E64" s="452"/>
      <c r="F64" s="286" t="s">
        <v>277</v>
      </c>
    </row>
    <row r="65" spans="2:5" ht="15" customHeight="1" x14ac:dyDescent="0.3">
      <c r="B65" s="312" t="s">
        <v>294</v>
      </c>
      <c r="D65" s="451">
        <v>0.15</v>
      </c>
      <c r="E65" s="45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C27" sqref="C2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113" t="s">
        <v>274</v>
      </c>
      <c r="C2" s="306" t="s">
        <v>288</v>
      </c>
      <c r="D2" s="306"/>
      <c r="E2" s="306">
        <v>1</v>
      </c>
      <c r="F2" s="306"/>
      <c r="G2" s="306">
        <v>2</v>
      </c>
      <c r="H2" s="12"/>
      <c r="I2" s="306">
        <v>3</v>
      </c>
      <c r="J2" s="306"/>
      <c r="K2" s="12"/>
      <c r="L2" s="12"/>
    </row>
    <row r="3" spans="1:13" ht="15.75" customHeight="1" x14ac:dyDescent="0.3">
      <c r="B3" s="29" t="str">
        <f>'FCFF Model'!B3</f>
        <v>(Numbers in 1000HKD)</v>
      </c>
      <c r="C3" s="298">
        <f>Data!C3</f>
        <v>44742</v>
      </c>
      <c r="D3" s="28" t="s">
        <v>276</v>
      </c>
      <c r="E3" s="298">
        <f>EOMONTH(EDATE(C3,12),0)</f>
        <v>45107</v>
      </c>
      <c r="F3" s="28" t="s">
        <v>276</v>
      </c>
      <c r="G3" s="298">
        <f>IF(G9="","",EOMONTH(EDATE(E3,12),0))</f>
        <v>45473</v>
      </c>
      <c r="H3" s="28"/>
      <c r="I3" s="298" t="str">
        <f>IF(I16="","",EOMONTH(EDATE(G3,12),0))</f>
        <v/>
      </c>
      <c r="J3" s="316"/>
      <c r="L3" s="93" t="s">
        <v>165</v>
      </c>
    </row>
    <row r="4" spans="1:13" ht="15.75" customHeight="1" x14ac:dyDescent="0.3">
      <c r="B4" s="313" t="s">
        <v>311</v>
      </c>
      <c r="C4" s="358">
        <v>11129690.461999999</v>
      </c>
      <c r="D4" s="280">
        <f>C4/C8</f>
        <v>0.71954007930541752</v>
      </c>
      <c r="E4" s="242">
        <f>3947351.849/0.7</f>
        <v>5639074.0700000003</v>
      </c>
      <c r="F4" s="280">
        <f>E4/E8</f>
        <v>0.53990943728418095</v>
      </c>
      <c r="G4" s="242">
        <f>E4*1.52</f>
        <v>8571392.5864000004</v>
      </c>
      <c r="H4" s="280">
        <f>G4/G8</f>
        <v>0.63096006033519247</v>
      </c>
      <c r="I4" s="242"/>
      <c r="J4" s="307"/>
      <c r="K4" s="6"/>
      <c r="L4" s="95"/>
      <c r="M4" s="78"/>
    </row>
    <row r="5" spans="1:13" ht="15.75" customHeight="1" x14ac:dyDescent="0.3">
      <c r="B5" s="313" t="s">
        <v>312</v>
      </c>
      <c r="C5" s="358">
        <v>1147617.763</v>
      </c>
      <c r="D5" s="280">
        <f>C5/C8</f>
        <v>7.4194064877248861E-2</v>
      </c>
      <c r="E5" s="242">
        <f>591321.795*2</f>
        <v>1182643.5900000001</v>
      </c>
      <c r="F5" s="280">
        <f>E5/E8</f>
        <v>0.11323143254698259</v>
      </c>
      <c r="G5" s="242">
        <f>E5*1.03</f>
        <v>1218122.8977000001</v>
      </c>
      <c r="H5" s="280">
        <f>G5/G8</f>
        <v>8.9668847772527399E-2</v>
      </c>
      <c r="I5" s="242"/>
      <c r="J5" s="307"/>
      <c r="K5" s="6"/>
      <c r="L5" s="95"/>
      <c r="M5" s="78"/>
    </row>
    <row r="6" spans="1:13" ht="15.75" customHeight="1" x14ac:dyDescent="0.3">
      <c r="B6" s="313" t="s">
        <v>313</v>
      </c>
      <c r="C6" s="358">
        <v>451993.272</v>
      </c>
      <c r="D6" s="280">
        <f>C6/C8</f>
        <v>2.9221592091066291E-2</v>
      </c>
      <c r="E6" s="242">
        <f>455151.15*2</f>
        <v>910302.3</v>
      </c>
      <c r="F6" s="280">
        <f>E6/E8</f>
        <v>8.7156294890004107E-2</v>
      </c>
      <c r="G6" s="242">
        <f>E6*1.1</f>
        <v>1001332.5300000001</v>
      </c>
      <c r="H6" s="280">
        <f>G6/G8</f>
        <v>7.3710406701806244E-2</v>
      </c>
      <c r="I6" s="242"/>
      <c r="J6" s="307"/>
      <c r="K6" s="6"/>
      <c r="L6" s="95"/>
      <c r="M6" s="78"/>
    </row>
    <row r="7" spans="1:13" ht="15.75" customHeight="1" x14ac:dyDescent="0.3">
      <c r="B7" s="313" t="s">
        <v>314</v>
      </c>
      <c r="C7" s="358">
        <v>2738482.4139999999</v>
      </c>
      <c r="D7" s="280">
        <f>C7/C8</f>
        <v>0.17704426372626741</v>
      </c>
      <c r="E7" s="242">
        <f>1356230.715*2</f>
        <v>2712461.43</v>
      </c>
      <c r="F7" s="280">
        <f>E7/E8</f>
        <v>0.25970283527883237</v>
      </c>
      <c r="G7" s="242">
        <f>E7*1.03</f>
        <v>2793835.2729000002</v>
      </c>
      <c r="H7" s="280">
        <f>G7/G8</f>
        <v>0.20566068519047398</v>
      </c>
      <c r="I7" s="242"/>
      <c r="J7" s="307"/>
      <c r="K7" s="6"/>
      <c r="L7" s="95"/>
      <c r="M7" s="78"/>
    </row>
    <row r="8" spans="1:13" ht="15.75" customHeight="1" x14ac:dyDescent="0.3">
      <c r="B8" s="5" t="s">
        <v>167</v>
      </c>
      <c r="C8" s="200">
        <f>SUM(C4:C7)</f>
        <v>15467783.910999998</v>
      </c>
      <c r="D8" s="279"/>
      <c r="E8" s="357">
        <f>SUM(E4:E7)</f>
        <v>10444481.390000001</v>
      </c>
      <c r="F8" s="279"/>
      <c r="G8" s="357">
        <f>SUM(G4:G7)</f>
        <v>13584683.287</v>
      </c>
      <c r="H8" s="279"/>
      <c r="I8" s="248"/>
      <c r="J8" s="308"/>
      <c r="K8" s="6"/>
      <c r="L8" s="95" t="s">
        <v>295</v>
      </c>
      <c r="M8" s="78"/>
    </row>
    <row r="9" spans="1:13" ht="15.75" customHeight="1" x14ac:dyDescent="0.3">
      <c r="B9" s="17" t="s">
        <v>166</v>
      </c>
      <c r="C9" s="207"/>
      <c r="D9" s="281"/>
      <c r="E9" s="18">
        <f>E8/C8-1</f>
        <v>-0.32475903141028817</v>
      </c>
      <c r="F9" s="281"/>
      <c r="G9" s="94">
        <f>G8/E8-1</f>
        <v>0.30065656491154891</v>
      </c>
      <c r="H9" s="281"/>
      <c r="I9" s="94"/>
      <c r="J9" s="347"/>
      <c r="K9" s="6"/>
      <c r="L9" s="95"/>
      <c r="M9" s="78"/>
    </row>
    <row r="10" spans="1:13" ht="15.75" customHeight="1" x14ac:dyDescent="0.3">
      <c r="B10" s="8" t="s">
        <v>168</v>
      </c>
      <c r="C10" s="201">
        <f>Data!C9</f>
        <v>7301864</v>
      </c>
      <c r="D10" s="282"/>
      <c r="E10" s="247">
        <f>E8*(1-E11)</f>
        <v>6266688.8339999998</v>
      </c>
      <c r="F10" s="282"/>
      <c r="G10" s="302">
        <f>IF(G8="","",G8*(1-G11))</f>
        <v>6792341.6435000002</v>
      </c>
      <c r="H10" s="282"/>
      <c r="I10" s="302" t="str">
        <f>IF(I8="","",I8*(1-I11))</f>
        <v/>
      </c>
      <c r="J10" s="348"/>
      <c r="K10" s="6"/>
      <c r="L10" s="136"/>
      <c r="M10" s="1"/>
    </row>
    <row r="11" spans="1:13" ht="15.75" customHeight="1" x14ac:dyDescent="0.3">
      <c r="B11" s="17" t="s">
        <v>48</v>
      </c>
      <c r="C11" s="206">
        <f>(C8-C10)/C8</f>
        <v>0.52793082434987726</v>
      </c>
      <c r="D11" s="206"/>
      <c r="E11" s="94">
        <v>0.4</v>
      </c>
      <c r="F11" s="206"/>
      <c r="G11" s="94">
        <v>0.5</v>
      </c>
      <c r="H11" s="206"/>
      <c r="I11" s="94"/>
      <c r="J11" s="349"/>
      <c r="K11" s="6"/>
      <c r="L11" s="95"/>
    </row>
    <row r="12" spans="1:13" ht="15.75" customHeight="1" x14ac:dyDescent="0.3">
      <c r="B12" s="5" t="s">
        <v>169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62"/>
      <c r="K12" s="6"/>
      <c r="L12" s="95"/>
    </row>
    <row r="13" spans="1:13" ht="15.75" customHeight="1" x14ac:dyDescent="0.3">
      <c r="B13" s="17" t="s">
        <v>50</v>
      </c>
      <c r="C13" s="209">
        <f>C14/C8</f>
        <v>6.7328499738051453E-2</v>
      </c>
      <c r="D13" s="209"/>
      <c r="E13" s="246">
        <f>E14/E8</f>
        <v>0.10369874309288227</v>
      </c>
      <c r="F13" s="209"/>
      <c r="G13" s="86">
        <v>0.09</v>
      </c>
      <c r="H13" s="209"/>
      <c r="I13" s="86"/>
      <c r="J13" s="350"/>
      <c r="K13" s="6"/>
      <c r="L13" s="95"/>
    </row>
    <row r="14" spans="1:13" ht="15.75" customHeight="1" x14ac:dyDescent="0.3">
      <c r="B14" s="8" t="s">
        <v>170</v>
      </c>
      <c r="C14" s="203">
        <f>867483.279+173939.406</f>
        <v>1041422.6849999999</v>
      </c>
      <c r="D14" s="283"/>
      <c r="E14" s="97">
        <f>C14*1.04</f>
        <v>1083079.5924</v>
      </c>
      <c r="F14" s="283"/>
      <c r="G14" s="97">
        <f>G8*G13</f>
        <v>1222621.4958299999</v>
      </c>
      <c r="H14" s="283"/>
      <c r="I14" s="97"/>
      <c r="J14" s="351"/>
      <c r="K14" s="6"/>
      <c r="L14" s="95"/>
    </row>
    <row r="15" spans="1:13" ht="15.75" customHeight="1" x14ac:dyDescent="0.3">
      <c r="B15" s="17" t="s">
        <v>51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51"/>
      <c r="K15" s="6"/>
      <c r="L15" s="95"/>
      <c r="M15" s="78"/>
    </row>
    <row r="16" spans="1:13" ht="15.75" customHeight="1" x14ac:dyDescent="0.3">
      <c r="B16" s="17" t="s">
        <v>171</v>
      </c>
      <c r="C16" s="208"/>
      <c r="D16" s="284"/>
      <c r="E16" s="14">
        <f>IF(ABS(C17+E17)=ABS(C17)+ABS(E17),IF(E17&lt;0,-1,1)*(E17-C17)/C17,"Turn")</f>
        <v>-0.56562366923153307</v>
      </c>
      <c r="F16" s="284"/>
      <c r="G16" s="14">
        <f>IF(G9="","",IF(ABS(E17+G17)=ABS(E17)+ABS(G17),IF(G17&lt;0,-1,1)*(G17-E17)/E17,"Turn"))</f>
        <v>0.7997533901143733</v>
      </c>
      <c r="H16" s="284"/>
      <c r="I16" s="14" t="str">
        <f>IF(I9="","",IF(ABS(G17+I17)=ABS(G17)+ABS(I17),IF(I17&lt;0,-1,1)*(I17-G17)/G17,"Turn"))</f>
        <v/>
      </c>
      <c r="J16" s="352"/>
      <c r="K16" s="6"/>
      <c r="L16" s="98"/>
      <c r="M16" s="99"/>
    </row>
    <row r="17" spans="2:13" ht="15.75" customHeight="1" x14ac:dyDescent="0.3">
      <c r="B17" s="154" t="s">
        <v>272</v>
      </c>
      <c r="C17" s="339">
        <f>C12-C14</f>
        <v>7124497.2259999989</v>
      </c>
      <c r="D17" s="340"/>
      <c r="E17" s="339">
        <f>E12-E14</f>
        <v>3094712.9636000008</v>
      </c>
      <c r="F17" s="340"/>
      <c r="G17" s="339">
        <f>IF(G9="","",G12-G14)</f>
        <v>5569720.1476700008</v>
      </c>
      <c r="H17" s="340"/>
      <c r="I17" s="339" t="str">
        <f>IF(I9="","",I12-I14)</f>
        <v/>
      </c>
      <c r="J17" s="353"/>
      <c r="K17" s="6"/>
      <c r="L17" s="100"/>
      <c r="M17" s="77"/>
    </row>
    <row r="18" spans="2:13" ht="15.75" customHeight="1" x14ac:dyDescent="0.3">
      <c r="B18" s="335" t="s">
        <v>172</v>
      </c>
      <c r="C18" s="336">
        <v>0.25</v>
      </c>
      <c r="D18" s="337"/>
      <c r="E18" s="338">
        <f>IF(E17="","",C18)</f>
        <v>0.25</v>
      </c>
      <c r="F18" s="338"/>
      <c r="G18" s="338">
        <f>IF(G17="","",E18)</f>
        <v>0.25</v>
      </c>
      <c r="H18" s="338"/>
      <c r="I18" s="338" t="str">
        <f>IF(I17="","",G18)</f>
        <v/>
      </c>
      <c r="J18" s="354"/>
    </row>
    <row r="19" spans="2:13" ht="15.75" customHeight="1" x14ac:dyDescent="0.3">
      <c r="B19" s="344" t="s">
        <v>302</v>
      </c>
      <c r="C19" s="208"/>
      <c r="D19" s="346"/>
      <c r="E19" s="345">
        <f>E20/C20-1</f>
        <v>-0.56562366923153307</v>
      </c>
      <c r="F19" s="345"/>
      <c r="G19" s="345">
        <f>IF(G20="","",G20/E20-1)</f>
        <v>0.79975339011437319</v>
      </c>
      <c r="H19" s="345"/>
      <c r="I19" s="345" t="str">
        <f>IF(I20="","",I20/G20-1)</f>
        <v/>
      </c>
      <c r="J19" s="355"/>
    </row>
    <row r="20" spans="2:13" ht="15.75" customHeight="1" x14ac:dyDescent="0.3">
      <c r="B20" s="341" t="s">
        <v>100</v>
      </c>
      <c r="C20" s="342">
        <f>IF(C17&lt;=0,C17,C17*(1-C18))</f>
        <v>5343372.9194999989</v>
      </c>
      <c r="D20" s="342"/>
      <c r="E20" s="343">
        <f>IF(E17="","",IF(E17&lt;=0,E17,E17*(1-E18)))</f>
        <v>2321034.7227000007</v>
      </c>
      <c r="F20" s="342"/>
      <c r="G20" s="343">
        <f>IF(G17="","",IF(G17&lt;=0,G17,G17*(1-G18)))</f>
        <v>4177290.1107525006</v>
      </c>
      <c r="H20" s="342"/>
      <c r="I20" s="343" t="str">
        <f>IF(I17="","",IF(I17&lt;=0,I17,I17*(1-I18)))</f>
        <v/>
      </c>
      <c r="J20" s="356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G9:H13 I12 I14:I17 G15:H17 H14 I9:I10">
    <cfRule type="containsBlanks" dxfId="6" priority="8">
      <formula>LEN(TRIM(G9))=0</formula>
    </cfRule>
    <cfRule type="containsBlanks" priority="9">
      <formula>LEN(TRIM(G9))=0</formula>
    </cfRule>
  </conditionalFormatting>
  <conditionalFormatting sqref="I9 I13 I11">
    <cfRule type="containsBlanks" dxfId="5" priority="6">
      <formula>LEN(TRIM(I9))=0</formula>
    </cfRule>
    <cfRule type="containsBlanks" priority="7">
      <formula>LEN(TRIM(I9))=0</formula>
    </cfRule>
  </conditionalFormatting>
  <conditionalFormatting sqref="J9:J17">
    <cfRule type="containsBlanks" dxfId="4" priority="4">
      <formula>LEN(TRIM(J9))=0</formula>
    </cfRule>
    <cfRule type="containsBlanks" priority="5">
      <formula>LEN(TRIM(J9))=0</formula>
    </cfRule>
  </conditionalFormatting>
  <conditionalFormatting sqref="E18:E20 G20 I20">
    <cfRule type="containsBlanks" dxfId="3" priority="2">
      <formula>LEN(TRIM(E18))=0</formula>
    </cfRule>
  </conditionalFormatting>
  <conditionalFormatting sqref="G9:J20">
    <cfRule type="containsBlanks" dxfId="2" priority="1">
      <formula>LEN(TRIM(G9))=0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16" zoomScaleNormal="100" zoomScalePageLayoutView="80" workbookViewId="0">
      <selection activeCell="B36" sqref="B3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13" t="s">
        <v>250</v>
      </c>
      <c r="C2" s="306" t="s">
        <v>288</v>
      </c>
      <c r="D2" s="306">
        <v>1</v>
      </c>
      <c r="E2" s="306">
        <v>2</v>
      </c>
      <c r="F2" s="306">
        <v>3</v>
      </c>
      <c r="G2" s="30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98">
        <f>Operation!C3</f>
        <v>44742</v>
      </c>
      <c r="D3" s="298">
        <f>Operation!E3</f>
        <v>45107</v>
      </c>
      <c r="E3" s="298">
        <f>Operation!G3</f>
        <v>45473</v>
      </c>
      <c r="F3" s="298" t="str">
        <f>Operation!I3</f>
        <v/>
      </c>
      <c r="G3" s="28" t="s">
        <v>286</v>
      </c>
      <c r="I3" s="93" t="s">
        <v>165</v>
      </c>
    </row>
    <row r="4" spans="1:10" ht="15.75" customHeight="1" x14ac:dyDescent="0.3">
      <c r="B4" s="5" t="s">
        <v>100</v>
      </c>
      <c r="C4" s="202">
        <f>Operation!C20</f>
        <v>5343372.9194999989</v>
      </c>
      <c r="D4" s="45">
        <f>Operation!E20</f>
        <v>2321034.7227000007</v>
      </c>
      <c r="E4" s="45">
        <f>Operation!G20</f>
        <v>4177290.1107525006</v>
      </c>
      <c r="F4" s="221" t="str">
        <f>Operation!I20</f>
        <v/>
      </c>
      <c r="G4" s="323">
        <f>IF(F3="",IF(E3="",1,2),3)</f>
        <v>2</v>
      </c>
      <c r="H4" s="6"/>
      <c r="I4" s="100"/>
      <c r="J4" s="77"/>
    </row>
    <row r="5" spans="1:10" ht="15.75" customHeight="1" x14ac:dyDescent="0.3">
      <c r="B5" s="17" t="s">
        <v>300</v>
      </c>
      <c r="C5" s="277"/>
      <c r="D5" s="278">
        <f>D4/C4-1</f>
        <v>-0.56562366923153307</v>
      </c>
      <c r="E5" s="278">
        <f>IF(E4="","",E4/D4-1)</f>
        <v>0.79975339011437319</v>
      </c>
      <c r="F5" s="278" t="str">
        <f>IF(F4="","",F4/E4-1)</f>
        <v/>
      </c>
      <c r="G5" s="218"/>
      <c r="H5" s="6"/>
      <c r="I5" s="100"/>
      <c r="J5" s="77"/>
    </row>
    <row r="6" spans="1:10" ht="15.75" customHeight="1" x14ac:dyDescent="0.3">
      <c r="B6" s="17" t="s">
        <v>69</v>
      </c>
      <c r="C6" s="86">
        <v>0.27</v>
      </c>
      <c r="D6" s="246">
        <v>0.27</v>
      </c>
      <c r="E6" s="86">
        <v>0.27</v>
      </c>
      <c r="F6" s="328"/>
      <c r="G6" s="219"/>
      <c r="H6" s="6"/>
      <c r="I6" s="98"/>
    </row>
    <row r="7" spans="1:10" ht="15" customHeight="1" thickBot="1" x14ac:dyDescent="0.35">
      <c r="B7" s="102" t="s">
        <v>296</v>
      </c>
      <c r="C7" s="329">
        <f>C4*C6</f>
        <v>1442710.6882649998</v>
      </c>
      <c r="D7" s="329">
        <f>D4*D6</f>
        <v>626679.37512900028</v>
      </c>
      <c r="E7" s="330">
        <f>E4*E6</f>
        <v>1127868.3299031751</v>
      </c>
      <c r="F7" s="330"/>
      <c r="G7" s="220"/>
      <c r="H7" s="103"/>
      <c r="I7" s="77"/>
      <c r="J7" s="77"/>
    </row>
    <row r="8" spans="1:10" ht="15.75" customHeight="1" thickTop="1" x14ac:dyDescent="0.3">
      <c r="B8" s="17" t="s">
        <v>173</v>
      </c>
      <c r="C8" s="212">
        <f>IF(C4="","",C4-C7)</f>
        <v>3900662.2312349994</v>
      </c>
      <c r="D8" s="211">
        <f>D4-D7</f>
        <v>1694355.3475710005</v>
      </c>
      <c r="E8" s="211">
        <f>IF(E4="","",E4-E7)</f>
        <v>3049421.7808493255</v>
      </c>
      <c r="F8" s="211" t="str">
        <f>IF(F4="","",F4-F7)</f>
        <v/>
      </c>
      <c r="G8" s="249">
        <f>IF(F4="",IF(E4="",D8,E8),F8)</f>
        <v>3049421.7808493255</v>
      </c>
      <c r="H8" s="103"/>
      <c r="I8" s="77"/>
      <c r="J8" s="77"/>
    </row>
    <row r="9" spans="1:10" ht="15.75" customHeight="1" x14ac:dyDescent="0.3">
      <c r="B9" s="223" t="s">
        <v>243</v>
      </c>
      <c r="C9" s="213">
        <f>C8/(Common_Shares/Data!$C$4)</f>
        <v>0.48387735757332467</v>
      </c>
      <c r="D9" s="325">
        <f>D8/(Common_Shares/Data!$C$4)</f>
        <v>0.21018487112464224</v>
      </c>
      <c r="E9" s="325">
        <f>IF(E8="","",E8/(Common_Shares/Data!$C$4))</f>
        <v>0.37828093435732751</v>
      </c>
      <c r="F9" s="325" t="str">
        <f>IF(F8="","",F8/(Common_Shares/Data!$C$4))</f>
        <v/>
      </c>
      <c r="G9" s="326">
        <f>G8*Data!C$4/Dashboard!I5</f>
        <v>0.37828093435732757</v>
      </c>
      <c r="H9" s="103"/>
      <c r="I9" s="77"/>
      <c r="J9" s="77"/>
    </row>
    <row r="10" spans="1:10" ht="15.75" customHeight="1" x14ac:dyDescent="0.3">
      <c r="B10" s="254" t="s">
        <v>273</v>
      </c>
      <c r="C10" s="331">
        <f>C11/C9</f>
        <v>1.1779844439479163</v>
      </c>
      <c r="D10" s="331">
        <f>D11/D9</f>
        <v>2.6643211616687346</v>
      </c>
      <c r="E10" s="360"/>
      <c r="F10" s="360"/>
      <c r="G10" s="255"/>
      <c r="H10" s="103"/>
      <c r="I10" s="77"/>
      <c r="J10" s="77"/>
    </row>
    <row r="11" spans="1:10" ht="15.75" customHeight="1" x14ac:dyDescent="0.3">
      <c r="B11" s="254" t="s">
        <v>287</v>
      </c>
      <c r="C11" s="304">
        <f>0.42+0.15</f>
        <v>0.56999999999999995</v>
      </c>
      <c r="D11" s="305">
        <v>0.56000000000000005</v>
      </c>
      <c r="E11" s="361"/>
      <c r="F11" s="361"/>
      <c r="G11" s="303"/>
      <c r="H11" s="103"/>
      <c r="I11" s="77"/>
      <c r="J11" s="77"/>
    </row>
    <row r="12" spans="1:10" ht="15.75" customHeight="1" x14ac:dyDescent="0.3">
      <c r="B12" s="19" t="s">
        <v>301</v>
      </c>
      <c r="C12" s="256">
        <v>0</v>
      </c>
      <c r="D12" s="256">
        <f>D11</f>
        <v>0.56000000000000005</v>
      </c>
      <c r="E12" s="362"/>
      <c r="F12" s="362"/>
      <c r="G12" s="250">
        <f>G9*D26</f>
        <v>4.5393712122879304</v>
      </c>
      <c r="H12" s="103"/>
      <c r="I12" s="77"/>
      <c r="J12" s="77"/>
    </row>
    <row r="13" spans="1:10" ht="15.75" customHeight="1" x14ac:dyDescent="0.3">
      <c r="B13" s="17" t="s">
        <v>174</v>
      </c>
      <c r="C13" s="210"/>
      <c r="D13" s="243">
        <f ca="1">Dashboard!C12</f>
        <v>0.08</v>
      </c>
      <c r="E13" s="18">
        <f ca="1">IF(E4="","",D13)</f>
        <v>0.08</v>
      </c>
      <c r="F13" s="18" t="str">
        <f>IF(F4="","",D13)</f>
        <v/>
      </c>
      <c r="G13" s="251">
        <f ca="1">Dashboard!C12</f>
        <v>0.08</v>
      </c>
      <c r="H13" s="83"/>
      <c r="I13" s="78"/>
      <c r="J13" s="78"/>
    </row>
    <row r="14" spans="1:10" ht="15.75" customHeight="1" thickBot="1" x14ac:dyDescent="0.35">
      <c r="B14" s="104" t="s">
        <v>175</v>
      </c>
      <c r="C14" s="134"/>
      <c r="D14" s="244">
        <f ca="1">IF(D4="","",1+D13)</f>
        <v>1.08</v>
      </c>
      <c r="E14" s="245">
        <f ca="1">IF(E4="","",(1+D13)*(1+E13))</f>
        <v>1.1664000000000001</v>
      </c>
      <c r="F14" s="245" t="str">
        <f>IF(F4="","",(1+D13)*(1+E13)*(1+F13))</f>
        <v/>
      </c>
      <c r="G14" s="252">
        <f ca="1">IF(F4="",IF(E4="",D14,E14),F14)*(1+G13)</f>
        <v>1.2597120000000002</v>
      </c>
      <c r="H14" s="83"/>
      <c r="I14" s="78"/>
      <c r="J14" s="78"/>
    </row>
    <row r="15" spans="1:10" ht="15.75" customHeight="1" thickTop="1" x14ac:dyDescent="0.3">
      <c r="B15" s="8" t="s">
        <v>340</v>
      </c>
      <c r="C15" s="257">
        <f>C12</f>
        <v>0</v>
      </c>
      <c r="D15" s="215">
        <f ca="1">IF(D12="","",IF(D12=0,0,D12/D14))</f>
        <v>0.51851851851851849</v>
      </c>
      <c r="E15" s="216">
        <f ca="1">IF(E9="","",E9/E14)</f>
        <v>0.32431493000456746</v>
      </c>
      <c r="F15" s="216" t="str">
        <f>IF(F9="","",F9/F14)</f>
        <v/>
      </c>
      <c r="G15" s="253">
        <f ca="1">IF(G12=0,0,G12/G14)</f>
        <v>3.6034992222729718</v>
      </c>
      <c r="H15" s="101"/>
      <c r="I15" s="77"/>
      <c r="J15" s="77"/>
    </row>
    <row r="16" spans="1:10" ht="15.75" customHeight="1" x14ac:dyDescent="0.3">
      <c r="F16" s="6"/>
      <c r="G16" s="135"/>
    </row>
    <row r="17" spans="1:9" ht="15.75" customHeight="1" x14ac:dyDescent="0.3">
      <c r="B17" s="26" t="s">
        <v>246</v>
      </c>
      <c r="C17" s="214" t="str">
        <f>B3</f>
        <v>(Numbers in 1000HKD)</v>
      </c>
      <c r="E17" s="93" t="s">
        <v>247</v>
      </c>
    </row>
    <row r="18" spans="1:9" ht="15.75" customHeight="1" x14ac:dyDescent="0.3">
      <c r="B18" s="79" t="s">
        <v>266</v>
      </c>
      <c r="C18" s="105">
        <f>Asset_Model!E59</f>
        <v>43640996.975659996</v>
      </c>
      <c r="D18" s="239">
        <f>C18/(Dashboard!I5/Data!C4)</f>
        <v>5.4136679995904018</v>
      </c>
      <c r="E18" s="106" t="s">
        <v>263</v>
      </c>
      <c r="G18" s="157">
        <f>C18+C19+C20+C21</f>
        <v>48234112.581060007</v>
      </c>
    </row>
    <row r="19" spans="1:9" ht="15.75" customHeight="1" x14ac:dyDescent="0.3">
      <c r="B19" s="79" t="s">
        <v>270</v>
      </c>
      <c r="C19" s="105">
        <f>Asset_Model!E58</f>
        <v>12100299.5754</v>
      </c>
      <c r="D19" s="239">
        <f>C19/(Dashboard!I5/Data!C4)</f>
        <v>1.5010428069124016</v>
      </c>
      <c r="E19" s="106" t="s">
        <v>264</v>
      </c>
      <c r="G19" s="217">
        <f>G18*Data!C$4/Dashboard!I5</f>
        <v>5.9834442351159485</v>
      </c>
    </row>
    <row r="20" spans="1:9" ht="15.75" customHeight="1" x14ac:dyDescent="0.3">
      <c r="B20" s="79" t="s">
        <v>248</v>
      </c>
      <c r="C20" s="105">
        <f>-Asset_Model!D52</f>
        <v>-6739518.3509999998</v>
      </c>
      <c r="D20" s="239">
        <f>C20/(Dashboard!I5/Data!C4)</f>
        <v>-0.83603761045629021</v>
      </c>
      <c r="E20" s="460" t="str">
        <f>IF(F21+G21=G19,"⇒","Error!")</f>
        <v>⇒</v>
      </c>
      <c r="F20" s="166" t="s">
        <v>271</v>
      </c>
      <c r="G20" s="108" t="s">
        <v>23</v>
      </c>
    </row>
    <row r="21" spans="1:9" ht="15.75" customHeight="1" x14ac:dyDescent="0.3">
      <c r="B21" s="106" t="s">
        <v>265</v>
      </c>
      <c r="C21" s="105">
        <f>-Asset_Model!E50</f>
        <v>-767665.61899998784</v>
      </c>
      <c r="D21" s="239">
        <f>C21/(Dashboard!I5/Data!C4)</f>
        <v>-9.5228960930564099E-2</v>
      </c>
      <c r="E21" s="460"/>
      <c r="F21" s="168">
        <f>D18</f>
        <v>5.4136679995904018</v>
      </c>
      <c r="G21" s="167">
        <f>SUM(D19:D21)</f>
        <v>0.56977623552554724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249</v>
      </c>
      <c r="C23" s="214" t="str">
        <f>B3</f>
        <v>(Numbers in 1000HKD)</v>
      </c>
      <c r="E23" s="463" t="s">
        <v>256</v>
      </c>
      <c r="F23" s="463"/>
      <c r="G23" s="463"/>
    </row>
    <row r="24" spans="1:9" ht="15.75" customHeight="1" x14ac:dyDescent="0.3">
      <c r="B24" s="147" t="str">
        <f>"Exit after Year "&amp;G4</f>
        <v>Exit after Year 2</v>
      </c>
      <c r="C24" s="147" t="s">
        <v>252</v>
      </c>
      <c r="D24" s="222" t="s">
        <v>245</v>
      </c>
      <c r="E24" s="324" t="s">
        <v>253</v>
      </c>
      <c r="F24" s="285" t="s">
        <v>255</v>
      </c>
      <c r="G24" s="285" t="s">
        <v>254</v>
      </c>
      <c r="I24" s="107" t="s">
        <v>165</v>
      </c>
    </row>
    <row r="25" spans="1:9" ht="15.75" customHeight="1" x14ac:dyDescent="0.3">
      <c r="B25" s="30" t="s">
        <v>338</v>
      </c>
      <c r="C25" s="14">
        <f>1/D25</f>
        <v>0.125</v>
      </c>
      <c r="D25" s="317">
        <v>8</v>
      </c>
      <c r="E25" s="226">
        <f ca="1">G9*D25/G14</f>
        <v>2.402332814848648</v>
      </c>
      <c r="F25" s="461">
        <f ca="1">SUM(C15:F15)</f>
        <v>0.84283344852308595</v>
      </c>
      <c r="G25" s="226">
        <f ca="1">$F$25+E25+$G$19</f>
        <v>9.2286104984876829</v>
      </c>
      <c r="I25" s="95"/>
    </row>
    <row r="26" spans="1:9" ht="15.75" customHeight="1" x14ac:dyDescent="0.3">
      <c r="B26" s="321" t="s">
        <v>339</v>
      </c>
      <c r="C26" s="322">
        <f t="shared" ref="C26" si="0">1/D26</f>
        <v>8.3333333333333329E-2</v>
      </c>
      <c r="D26" s="334">
        <v>12</v>
      </c>
      <c r="E26" s="227">
        <f ca="1">G9*D26/G14</f>
        <v>3.6034992222729718</v>
      </c>
      <c r="F26" s="462"/>
      <c r="G26" s="227">
        <f ca="1">$F$25+E26+$G$19</f>
        <v>10.429776905912007</v>
      </c>
      <c r="I26" s="95" t="s">
        <v>315</v>
      </c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70" t="str">
        <f>"(Numbers in "&amp;Dashboard!J4&amp;" per share)"</f>
        <v>(Numbers in HKD per share)</v>
      </c>
      <c r="D28" s="147"/>
      <c r="E28" s="153"/>
      <c r="F28" s="147"/>
      <c r="G28" s="147"/>
      <c r="H28" s="12"/>
      <c r="I28" s="111"/>
    </row>
    <row r="29" spans="1:9" ht="15.75" customHeight="1" x14ac:dyDescent="0.3">
      <c r="A29" s="6"/>
      <c r="B29" s="92" t="s">
        <v>176</v>
      </c>
      <c r="C29" s="272">
        <f ca="1">MIN(Asset_Model!D7,G25*Exchange_Rate)+(ABS(Asset_Model!D7-G25*Exchange_Rate)*'Qualitative Analysis'!E8)</f>
        <v>11.339169963600042</v>
      </c>
      <c r="D29" s="23" t="str">
        <f ca="1">IF(C29&lt;E29,"&lt;",IF(C29=E29,"=","&gt;"))</f>
        <v>&gt;</v>
      </c>
      <c r="E29" s="271">
        <f ca="1">G26*Exchange_Rate</f>
        <v>10.429776905912007</v>
      </c>
      <c r="F29" s="30"/>
      <c r="H29" s="6"/>
      <c r="I29" s="6"/>
    </row>
    <row r="30" spans="1:9" ht="15.75" customHeight="1" x14ac:dyDescent="0.3">
      <c r="B30" s="6"/>
      <c r="C30" s="143"/>
      <c r="D30" s="143"/>
      <c r="E30" s="143"/>
      <c r="F30" s="143"/>
      <c r="G30" s="144"/>
      <c r="H30" s="6"/>
      <c r="I30" s="109"/>
    </row>
    <row r="31" spans="1:9" ht="15.75" customHeight="1" x14ac:dyDescent="0.3">
      <c r="C31" s="458" t="s">
        <v>177</v>
      </c>
      <c r="D31" s="459"/>
      <c r="E31" s="30" t="s">
        <v>244</v>
      </c>
      <c r="F31" s="30" t="s">
        <v>18</v>
      </c>
      <c r="G31" s="30"/>
      <c r="H31" s="6"/>
    </row>
    <row r="32" spans="1:9" ht="15.75" customHeight="1" x14ac:dyDescent="0.3">
      <c r="B32" s="276" t="s">
        <v>258</v>
      </c>
      <c r="C32" s="273">
        <f ca="1">MIN(C29,E29)+ABS(C29-E29)*'Qualitative Analysis'!$E$64</f>
        <v>10.945223365548518</v>
      </c>
      <c r="D32" s="139" t="str">
        <f>Dashboard!J4</f>
        <v>HKD</v>
      </c>
      <c r="E32" s="140">
        <f ca="1">(C32-G19)/C9</f>
        <v>10.254208122728047</v>
      </c>
      <c r="F32" s="178">
        <f ca="1">C32/(Data!C28*Exchange_Rate*Data!C4/Common_Shares)</f>
        <v>0.55762587999140645</v>
      </c>
      <c r="G32" s="108"/>
      <c r="H32" s="6"/>
      <c r="I32" s="95"/>
    </row>
    <row r="33" spans="2:7" ht="15.75" customHeight="1" x14ac:dyDescent="0.3">
      <c r="B33" s="275" t="s">
        <v>257</v>
      </c>
      <c r="C33" s="274">
        <f ca="1">MAX(Asset_Model!D7,(G12/(1+G33)^G4+F25+G19)*Exchange_Rate)</f>
        <v>13.719162551918235</v>
      </c>
      <c r="D33" s="228" t="str">
        <f>D32</f>
        <v>HKD</v>
      </c>
      <c r="E33" s="140">
        <f ca="1">(C33-G19)/C9</f>
        <v>15.986940070098338</v>
      </c>
      <c r="F33" s="178">
        <f ca="1">C33/(Data!C28*Exchange_Rate*Data!C4/Common_Shares)</f>
        <v>0.69894965458981917</v>
      </c>
      <c r="G33" s="301">
        <f>Dashboard!D10+4.5%</f>
        <v>8.3159999999999998E-2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9 E13:F15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8" sqref="E8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178</v>
      </c>
      <c r="C2" s="116"/>
      <c r="D2" s="12"/>
      <c r="E2" s="12"/>
      <c r="G2" s="93" t="s">
        <v>165</v>
      </c>
    </row>
    <row r="3" spans="1:7" ht="14" x14ac:dyDescent="0.3">
      <c r="B3" s="6" t="s">
        <v>333</v>
      </c>
      <c r="C3" s="117"/>
      <c r="D3" s="115">
        <f t="shared" ref="D3" si="0">IF(E3="Strongly disagree",0,IF(E3="disagree",1,IF(E3="unclear",2,IF(E3="agree",3,4))))</f>
        <v>1</v>
      </c>
      <c r="E3" s="31" t="s">
        <v>187</v>
      </c>
      <c r="G3" s="98"/>
    </row>
    <row r="4" spans="1:7" ht="14" x14ac:dyDescent="0.3">
      <c r="B4" s="6" t="s">
        <v>337</v>
      </c>
      <c r="C4" s="117"/>
      <c r="D4" s="115">
        <f>IF(E4="Strongly disagree",0,IF(E4="disagree",1,IF(E4="unclear",2,IF(E4="agree",3,4))))</f>
        <v>1</v>
      </c>
      <c r="E4" s="31" t="s">
        <v>187</v>
      </c>
      <c r="G4" s="100" t="s">
        <v>332</v>
      </c>
    </row>
    <row r="5" spans="1:7" ht="14" x14ac:dyDescent="0.3">
      <c r="B5" s="6" t="s">
        <v>334</v>
      </c>
      <c r="C5" s="117"/>
      <c r="D5" s="115">
        <f>AVERAGE(D12:D16)</f>
        <v>2.2000000000000002</v>
      </c>
      <c r="E5" s="359" t="str">
        <f>IF(D5&gt;=3.5,"Strongly agree",IF(D5&gt;=2.5,"agree",IF(D5&gt;=1.5,"unclear",IF(D5&gt;=0.5,"disagree","Strongly disagree"))))</f>
        <v>unclear</v>
      </c>
      <c r="G5" s="100"/>
    </row>
    <row r="6" spans="1:7" ht="14" x14ac:dyDescent="0.3">
      <c r="B6" s="6" t="s">
        <v>335</v>
      </c>
      <c r="C6" s="117"/>
      <c r="D6" s="115">
        <f>AVERAGE(D24:D28)</f>
        <v>3.2</v>
      </c>
      <c r="E6" s="359" t="str">
        <f>IF(D6&gt;=3.5,"Strongly agree",IF(D6&gt;=2.5,"agree",IF(D6&gt;=1.5,"unclear",IF(D6&gt;=0.5,"disagree","Strongly disagree"))))</f>
        <v>agree</v>
      </c>
      <c r="G6" s="100"/>
    </row>
    <row r="7" spans="1:7" ht="14" x14ac:dyDescent="0.3">
      <c r="B7" s="6" t="s">
        <v>336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4" x14ac:dyDescent="0.3">
      <c r="B8" s="118" t="s">
        <v>181</v>
      </c>
      <c r="C8" s="117"/>
      <c r="D8" s="121">
        <f>AVERAGE(D3:D7)</f>
        <v>1.8800000000000001</v>
      </c>
      <c r="E8" s="119">
        <f>D8/4</f>
        <v>0.47000000000000003</v>
      </c>
      <c r="G8" s="98"/>
    </row>
    <row r="9" spans="1:7" ht="14" x14ac:dyDescent="0.3">
      <c r="B9" s="117"/>
      <c r="C9" s="117"/>
      <c r="E9" s="6"/>
      <c r="G9" s="98"/>
    </row>
    <row r="10" spans="1:7" ht="15" customHeight="1" x14ac:dyDescent="0.3">
      <c r="A10" s="4"/>
      <c r="B10" s="11" t="s">
        <v>182</v>
      </c>
      <c r="C10" s="20"/>
      <c r="D10" s="20"/>
      <c r="E10" s="12"/>
      <c r="G10" s="314"/>
    </row>
    <row r="11" spans="1:7" ht="15" customHeight="1" x14ac:dyDescent="0.3">
      <c r="B11" s="120" t="s">
        <v>183</v>
      </c>
      <c r="C11" s="114"/>
      <c r="E11" s="6"/>
      <c r="G11" s="314"/>
    </row>
    <row r="12" spans="1:7" ht="15" customHeight="1" x14ac:dyDescent="0.3">
      <c r="B12" s="53" t="s">
        <v>331</v>
      </c>
      <c r="D12" s="121">
        <f>IF(E12="Strongly disagree",0,IF(E12="disagree",1,IF(E12="unclear",2,IF(E12="agree",3,4))))</f>
        <v>1</v>
      </c>
      <c r="E12" s="31" t="s">
        <v>187</v>
      </c>
      <c r="F12" s="6"/>
      <c r="G12" s="314" t="s">
        <v>330</v>
      </c>
    </row>
    <row r="13" spans="1:7" ht="15" customHeight="1" x14ac:dyDescent="0.3">
      <c r="B13" s="53" t="s">
        <v>184</v>
      </c>
      <c r="D13" s="121">
        <f>IF(E13="Strongly disagree",0,IF(E13="disagree",1,IF(E13="unclear",2,IF(E13="agree",3,4))))</f>
        <v>2</v>
      </c>
      <c r="E13" s="31" t="s">
        <v>179</v>
      </c>
      <c r="F13" s="6"/>
      <c r="G13" s="314"/>
    </row>
    <row r="14" spans="1:7" ht="15" customHeight="1" x14ac:dyDescent="0.3">
      <c r="B14" s="53" t="s">
        <v>185</v>
      </c>
      <c r="D14" s="121">
        <f>IF(E14="Strongly disagree",0,IF(E14="disagree",1,IF(E14="unclear",2,IF(E14="agree",3,4))))</f>
        <v>2</v>
      </c>
      <c r="E14" s="31" t="s">
        <v>179</v>
      </c>
      <c r="F14" s="6"/>
      <c r="G14" s="314"/>
    </row>
    <row r="15" spans="1:7" ht="15" customHeight="1" x14ac:dyDescent="0.3">
      <c r="B15" s="53" t="s">
        <v>186</v>
      </c>
      <c r="D15" s="121">
        <f>IF(E15="Strongly disagree",0,IF(E15="disagree",1,IF(E15="unclear",2,IF(E15="agree",3,4))))</f>
        <v>2</v>
      </c>
      <c r="E15" s="31" t="s">
        <v>179</v>
      </c>
      <c r="F15" s="6"/>
      <c r="G15" s="314"/>
    </row>
    <row r="16" spans="1:7" ht="15" customHeight="1" x14ac:dyDescent="0.3">
      <c r="B16" s="53" t="s">
        <v>188</v>
      </c>
      <c r="D16" s="121">
        <f>IF(E16="Strongly disagree",0,IF(E16="disagree",1,IF(E16="unclear",2,IF(E16="agree",3,4))))</f>
        <v>4</v>
      </c>
      <c r="E16" s="31" t="s">
        <v>189</v>
      </c>
      <c r="F16" s="6"/>
      <c r="G16" s="314"/>
    </row>
    <row r="17" spans="2:7" ht="15" customHeight="1" x14ac:dyDescent="0.3">
      <c r="B17" s="120" t="s">
        <v>190</v>
      </c>
      <c r="D17" s="38"/>
      <c r="E17" s="23"/>
      <c r="G17" s="314"/>
    </row>
    <row r="18" spans="2:7" ht="15" customHeight="1" x14ac:dyDescent="0.3">
      <c r="B18" s="53" t="s">
        <v>191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4"/>
    </row>
    <row r="19" spans="2:7" ht="15" customHeight="1" x14ac:dyDescent="0.3">
      <c r="B19" s="53" t="s">
        <v>192</v>
      </c>
      <c r="D19" s="121">
        <f t="shared" ref="D19:D22" si="1">IF(E19="Strongly disagree",0,IF(E19="disagree",1,IF(E19="unclear",2,IF(E19="agree",3,4))))</f>
        <v>1</v>
      </c>
      <c r="E19" s="31" t="s">
        <v>187</v>
      </c>
      <c r="F19" s="6"/>
      <c r="G19" s="314"/>
    </row>
    <row r="20" spans="2:7" ht="15" customHeight="1" x14ac:dyDescent="0.3">
      <c r="B20" s="53" t="s">
        <v>193</v>
      </c>
      <c r="D20" s="121">
        <f t="shared" si="1"/>
        <v>0</v>
      </c>
      <c r="E20" s="31" t="s">
        <v>203</v>
      </c>
      <c r="F20" s="6"/>
      <c r="G20" s="314"/>
    </row>
    <row r="21" spans="2:7" ht="15" customHeight="1" x14ac:dyDescent="0.3">
      <c r="B21" s="53" t="s">
        <v>194</v>
      </c>
      <c r="D21" s="121">
        <f t="shared" si="1"/>
        <v>2</v>
      </c>
      <c r="E21" s="31" t="s">
        <v>179</v>
      </c>
      <c r="F21" s="6"/>
      <c r="G21" s="314"/>
    </row>
    <row r="22" spans="2:7" ht="15" customHeight="1" x14ac:dyDescent="0.3">
      <c r="B22" s="53" t="s">
        <v>195</v>
      </c>
      <c r="D22" s="121">
        <f t="shared" si="1"/>
        <v>1</v>
      </c>
      <c r="E22" s="31" t="s">
        <v>187</v>
      </c>
      <c r="F22" s="6"/>
      <c r="G22" s="314"/>
    </row>
    <row r="23" spans="2:7" ht="15" customHeight="1" x14ac:dyDescent="0.3">
      <c r="B23" s="120" t="s">
        <v>196</v>
      </c>
      <c r="D23" s="38"/>
      <c r="E23" s="23"/>
      <c r="G23" s="314"/>
    </row>
    <row r="24" spans="2:7" ht="15" customHeight="1" x14ac:dyDescent="0.3">
      <c r="B24" s="53" t="s">
        <v>197</v>
      </c>
      <c r="D24" s="121">
        <f t="shared" ref="D24:D28" si="2">IF(E24="Strongly disagree",0,IF(E24="disagree",1,IF(E24="unclear",2,IF(E24="agree",3,4))))</f>
        <v>4</v>
      </c>
      <c r="E24" s="31" t="s">
        <v>189</v>
      </c>
      <c r="F24" s="6"/>
      <c r="G24" s="314"/>
    </row>
    <row r="25" spans="2:7" ht="15" customHeight="1" x14ac:dyDescent="0.3">
      <c r="B25" s="53" t="s">
        <v>198</v>
      </c>
      <c r="D25" s="121">
        <f t="shared" si="2"/>
        <v>3</v>
      </c>
      <c r="E25" s="31" t="s">
        <v>180</v>
      </c>
      <c r="F25" s="6"/>
      <c r="G25" s="314"/>
    </row>
    <row r="26" spans="2:7" ht="15" customHeight="1" x14ac:dyDescent="0.3">
      <c r="B26" s="53" t="s">
        <v>328</v>
      </c>
      <c r="D26" s="121">
        <f t="shared" si="2"/>
        <v>3</v>
      </c>
      <c r="E26" s="31" t="s">
        <v>180</v>
      </c>
      <c r="F26" s="6"/>
      <c r="G26" s="314"/>
    </row>
    <row r="27" spans="2:7" ht="15" customHeight="1" x14ac:dyDescent="0.3">
      <c r="B27" s="53" t="s">
        <v>329</v>
      </c>
      <c r="D27" s="121">
        <f t="shared" si="2"/>
        <v>3</v>
      </c>
      <c r="E27" s="31" t="s">
        <v>180</v>
      </c>
      <c r="F27" s="6"/>
      <c r="G27" s="314"/>
    </row>
    <row r="28" spans="2:7" ht="15" customHeight="1" x14ac:dyDescent="0.3">
      <c r="B28" s="53" t="s">
        <v>199</v>
      </c>
      <c r="D28" s="121">
        <f t="shared" si="2"/>
        <v>3</v>
      </c>
      <c r="E28" s="31" t="s">
        <v>180</v>
      </c>
      <c r="F28" s="6"/>
      <c r="G28" s="314"/>
    </row>
    <row r="29" spans="2:7" ht="15" customHeight="1" x14ac:dyDescent="0.3">
      <c r="B29" s="120" t="s">
        <v>200</v>
      </c>
      <c r="D29" s="38"/>
      <c r="E29" s="23"/>
      <c r="G29" s="314"/>
    </row>
    <row r="30" spans="2:7" ht="15" customHeight="1" x14ac:dyDescent="0.3">
      <c r="B30" s="1" t="s">
        <v>201</v>
      </c>
      <c r="D30" s="123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314"/>
    </row>
    <row r="31" spans="2:7" ht="15" customHeight="1" x14ac:dyDescent="0.3">
      <c r="B31" s="53" t="s">
        <v>202</v>
      </c>
      <c r="D31" s="121">
        <f t="shared" ref="D31:D35" si="3">IF(E31="Strongly disagree",0,IF(E31="disagree",1,IF(E31="unclear",2,IF(E31="agree",3,4))))</f>
        <v>2</v>
      </c>
      <c r="E31" s="31" t="s">
        <v>179</v>
      </c>
      <c r="F31" s="6"/>
      <c r="G31" s="314"/>
    </row>
    <row r="32" spans="2:7" ht="15" customHeight="1" x14ac:dyDescent="0.3">
      <c r="B32" s="53" t="s">
        <v>317</v>
      </c>
      <c r="D32" s="121">
        <f t="shared" si="3"/>
        <v>4</v>
      </c>
      <c r="E32" s="31" t="s">
        <v>189</v>
      </c>
      <c r="F32" s="6"/>
      <c r="G32" s="314"/>
    </row>
    <row r="33" spans="2:7" ht="15" customHeight="1" x14ac:dyDescent="0.3">
      <c r="B33" s="53" t="s">
        <v>320</v>
      </c>
      <c r="D33" s="121">
        <f t="shared" si="3"/>
        <v>0</v>
      </c>
      <c r="E33" s="31" t="s">
        <v>203</v>
      </c>
      <c r="F33" s="6"/>
      <c r="G33" s="314"/>
    </row>
    <row r="34" spans="2:7" ht="15" customHeight="1" x14ac:dyDescent="0.3">
      <c r="B34" s="53" t="s">
        <v>318</v>
      </c>
      <c r="D34" s="121">
        <f t="shared" si="3"/>
        <v>2</v>
      </c>
      <c r="E34" s="31" t="s">
        <v>179</v>
      </c>
      <c r="F34" s="6"/>
      <c r="G34" s="314"/>
    </row>
    <row r="35" spans="2:7" ht="15" customHeight="1" x14ac:dyDescent="0.3">
      <c r="B35" s="53" t="s">
        <v>319</v>
      </c>
      <c r="D35" s="121">
        <f t="shared" si="3"/>
        <v>4</v>
      </c>
      <c r="E35" s="31" t="s">
        <v>189</v>
      </c>
      <c r="G35" s="314"/>
    </row>
    <row r="36" spans="2:7" ht="15" customHeight="1" x14ac:dyDescent="0.3">
      <c r="B36" s="1" t="s">
        <v>204</v>
      </c>
      <c r="D36" s="12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314"/>
    </row>
    <row r="37" spans="2:7" ht="15" customHeight="1" x14ac:dyDescent="0.3">
      <c r="B37" s="53" t="s">
        <v>205</v>
      </c>
      <c r="D37" s="121">
        <f t="shared" ref="D37:D41" si="4">IF(E37="Strongly disagree",0,IF(E37="disagree",1,IF(E37="unclear",2,IF(E37="agree",3,4))))</f>
        <v>0</v>
      </c>
      <c r="E37" s="31" t="s">
        <v>203</v>
      </c>
      <c r="F37" s="6"/>
      <c r="G37" s="314"/>
    </row>
    <row r="38" spans="2:7" ht="15" customHeight="1" x14ac:dyDescent="0.3">
      <c r="B38" s="53" t="s">
        <v>321</v>
      </c>
      <c r="D38" s="121">
        <f t="shared" si="4"/>
        <v>0</v>
      </c>
      <c r="E38" s="31" t="s">
        <v>203</v>
      </c>
      <c r="F38" s="6"/>
      <c r="G38" s="314"/>
    </row>
    <row r="39" spans="2:7" ht="15" customHeight="1" x14ac:dyDescent="0.3">
      <c r="B39" s="53" t="s">
        <v>322</v>
      </c>
      <c r="D39" s="121">
        <f t="shared" si="4"/>
        <v>0</v>
      </c>
      <c r="E39" s="31" t="s">
        <v>203</v>
      </c>
      <c r="F39" s="6"/>
      <c r="G39" s="314"/>
    </row>
    <row r="40" spans="2:7" ht="15" customHeight="1" x14ac:dyDescent="0.3">
      <c r="B40" s="53" t="s">
        <v>323</v>
      </c>
      <c r="D40" s="121">
        <f t="shared" si="4"/>
        <v>4</v>
      </c>
      <c r="E40" s="31" t="s">
        <v>189</v>
      </c>
      <c r="F40" s="6"/>
      <c r="G40" s="314"/>
    </row>
    <row r="41" spans="2:7" ht="15" customHeight="1" x14ac:dyDescent="0.3">
      <c r="B41" s="53" t="s">
        <v>324</v>
      </c>
      <c r="D41" s="121">
        <f t="shared" si="4"/>
        <v>0</v>
      </c>
      <c r="E41" s="31" t="s">
        <v>203</v>
      </c>
      <c r="G41" s="314"/>
    </row>
    <row r="42" spans="2:7" ht="15" customHeight="1" x14ac:dyDescent="0.3">
      <c r="B42" s="1" t="s">
        <v>206</v>
      </c>
      <c r="D42" s="12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314"/>
    </row>
    <row r="43" spans="2:7" ht="15" customHeight="1" x14ac:dyDescent="0.3">
      <c r="B43" s="53" t="s">
        <v>207</v>
      </c>
      <c r="D43" s="121">
        <f t="shared" ref="D43:D48" si="5">IF(E43="Strongly disagree",0,IF(E43="disagree",1,IF(E43="unclear",2,IF(E43="agree",3,4))))</f>
        <v>1</v>
      </c>
      <c r="E43" s="31" t="s">
        <v>187</v>
      </c>
      <c r="F43" s="6"/>
      <c r="G43" s="314"/>
    </row>
    <row r="44" spans="2:7" ht="15" customHeight="1" x14ac:dyDescent="0.3">
      <c r="B44" s="53" t="s">
        <v>208</v>
      </c>
      <c r="D44" s="121">
        <f t="shared" si="5"/>
        <v>3</v>
      </c>
      <c r="E44" s="31" t="s">
        <v>180</v>
      </c>
      <c r="F44" s="6"/>
      <c r="G44" s="314"/>
    </row>
    <row r="45" spans="2:7" ht="15" customHeight="1" x14ac:dyDescent="0.3">
      <c r="B45" s="53" t="s">
        <v>209</v>
      </c>
      <c r="D45" s="121">
        <f t="shared" si="5"/>
        <v>4</v>
      </c>
      <c r="E45" s="31" t="s">
        <v>189</v>
      </c>
      <c r="F45" s="6"/>
      <c r="G45" s="314"/>
    </row>
    <row r="46" spans="2:7" ht="15" customHeight="1" x14ac:dyDescent="0.3">
      <c r="B46" s="53" t="s">
        <v>210</v>
      </c>
      <c r="D46" s="121">
        <f t="shared" si="5"/>
        <v>0</v>
      </c>
      <c r="E46" s="31" t="s">
        <v>203</v>
      </c>
      <c r="F46" s="6"/>
      <c r="G46" s="314"/>
    </row>
    <row r="47" spans="2:7" ht="15" customHeight="1" x14ac:dyDescent="0.3">
      <c r="B47" s="53" t="s">
        <v>211</v>
      </c>
      <c r="D47" s="121">
        <f t="shared" si="5"/>
        <v>4</v>
      </c>
      <c r="E47" s="31" t="s">
        <v>189</v>
      </c>
      <c r="F47" s="6"/>
      <c r="G47" s="314"/>
    </row>
    <row r="48" spans="2:7" ht="15" customHeight="1" x14ac:dyDescent="0.3">
      <c r="B48" s="53" t="s">
        <v>237</v>
      </c>
      <c r="D48" s="121">
        <f t="shared" si="5"/>
        <v>0</v>
      </c>
      <c r="E48" s="31" t="s">
        <v>203</v>
      </c>
      <c r="F48" s="6"/>
      <c r="G48" s="314"/>
    </row>
    <row r="49" spans="2:8" ht="15" customHeight="1" x14ac:dyDescent="0.3">
      <c r="B49" s="1" t="s">
        <v>212</v>
      </c>
      <c r="D49" s="123">
        <f>SUM(D50:D54)/(5*4)</f>
        <v>0.44727891156462585</v>
      </c>
      <c r="E49" s="49" t="str">
        <f>IF(D49&gt;80%,"Very High",IF(D49&lt;=20%,"Very Low",IF(D49&lt;=40%,"Low",IF(D49&lt;=60%,"Medium","High"))))</f>
        <v>Medium</v>
      </c>
      <c r="F49" s="6"/>
      <c r="G49" s="314"/>
    </row>
    <row r="50" spans="2:8" ht="15" customHeight="1" x14ac:dyDescent="0.3">
      <c r="B50" s="53" t="s">
        <v>213</v>
      </c>
      <c r="D50" s="121">
        <f t="shared" ref="D50:D52" si="6">IF(E50="Strongly disagree",0,IF(E50="disagree",1,IF(E50="unclear",2,IF(E50="agree",3,4))))</f>
        <v>0</v>
      </c>
      <c r="E50" s="31" t="s">
        <v>203</v>
      </c>
      <c r="G50" s="314"/>
    </row>
    <row r="51" spans="2:8" ht="15" customHeight="1" x14ac:dyDescent="0.3">
      <c r="B51" s="53" t="s">
        <v>214</v>
      </c>
      <c r="D51" s="121">
        <f t="shared" si="6"/>
        <v>3</v>
      </c>
      <c r="E51" s="31" t="s">
        <v>180</v>
      </c>
      <c r="F51" s="6"/>
      <c r="G51" s="314"/>
    </row>
    <row r="52" spans="2:8" ht="15" customHeight="1" x14ac:dyDescent="0.3">
      <c r="B52" s="53" t="s">
        <v>325</v>
      </c>
      <c r="D52" s="121">
        <f t="shared" si="6"/>
        <v>2</v>
      </c>
      <c r="E52" s="31" t="s">
        <v>179</v>
      </c>
      <c r="G52" s="314"/>
    </row>
    <row r="53" spans="2:8" ht="15" customHeight="1" x14ac:dyDescent="0.3">
      <c r="B53" s="53" t="s">
        <v>326</v>
      </c>
      <c r="D53" s="121">
        <f>IF(E53="Strongly disagree",0,IF(E53="disagree",1,IF(E53="unclear",2,IF(E53="agree",3,4))))</f>
        <v>2</v>
      </c>
      <c r="E53" s="31" t="s">
        <v>179</v>
      </c>
      <c r="F53" s="53"/>
      <c r="G53" s="314"/>
      <c r="H53" s="53"/>
    </row>
    <row r="54" spans="2:8" ht="15" customHeight="1" x14ac:dyDescent="0.3">
      <c r="B54" s="53" t="s">
        <v>327</v>
      </c>
      <c r="D54" s="124">
        <f t="array" ref="D54">(1-INDEX(B68:E77,MATCH(E54,B68:B77,0),4))*4</f>
        <v>1.9455782312925169</v>
      </c>
      <c r="E54" s="31" t="s">
        <v>316</v>
      </c>
      <c r="F54" s="53"/>
      <c r="G54" s="314"/>
      <c r="H54" s="53"/>
    </row>
    <row r="55" spans="2:8" ht="15" customHeight="1" x14ac:dyDescent="0.3">
      <c r="B55" s="1" t="s">
        <v>215</v>
      </c>
      <c r="D55" s="12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314"/>
      <c r="H55" s="53"/>
    </row>
    <row r="56" spans="2:8" ht="15" customHeight="1" x14ac:dyDescent="0.3">
      <c r="B56" s="53" t="s">
        <v>216</v>
      </c>
      <c r="D56" s="121">
        <f t="shared" ref="D56:D60" si="7">IF(E56="Strongly disagree",0,IF(E56="disagree",1,IF(E56="unclear",2,IF(E56="agree",3,4))))</f>
        <v>3</v>
      </c>
      <c r="E56" s="31" t="s">
        <v>180</v>
      </c>
      <c r="F56" s="53"/>
      <c r="G56" s="314"/>
      <c r="H56" s="53"/>
    </row>
    <row r="57" spans="2:8" ht="15" customHeight="1" x14ac:dyDescent="0.3">
      <c r="B57" s="53" t="s">
        <v>217</v>
      </c>
      <c r="D57" s="121">
        <f t="shared" si="7"/>
        <v>3</v>
      </c>
      <c r="E57" s="31" t="s">
        <v>180</v>
      </c>
      <c r="F57" s="53"/>
      <c r="G57" s="314"/>
      <c r="H57" s="53"/>
    </row>
    <row r="58" spans="2:8" ht="15" customHeight="1" x14ac:dyDescent="0.3">
      <c r="B58" s="53" t="s">
        <v>238</v>
      </c>
      <c r="D58" s="121">
        <f t="shared" si="7"/>
        <v>3</v>
      </c>
      <c r="E58" s="31" t="s">
        <v>180</v>
      </c>
      <c r="F58" s="53"/>
      <c r="G58" s="314"/>
      <c r="H58" s="53"/>
    </row>
    <row r="59" spans="2:8" ht="15" customHeight="1" x14ac:dyDescent="0.3">
      <c r="B59" s="53" t="s">
        <v>239</v>
      </c>
      <c r="D59" s="121">
        <f t="shared" si="7"/>
        <v>4</v>
      </c>
      <c r="E59" s="31" t="s">
        <v>189</v>
      </c>
      <c r="F59" s="53"/>
      <c r="G59" s="314"/>
      <c r="H59" s="53"/>
    </row>
    <row r="60" spans="2:8" ht="15" customHeight="1" x14ac:dyDescent="0.3">
      <c r="B60" s="53" t="s">
        <v>240</v>
      </c>
      <c r="D60" s="121">
        <f t="shared" si="7"/>
        <v>3</v>
      </c>
      <c r="E60" s="31" t="s">
        <v>180</v>
      </c>
      <c r="F60" s="53"/>
      <c r="G60" s="314"/>
      <c r="H60" s="53"/>
    </row>
    <row r="61" spans="2:8" ht="15" customHeight="1" x14ac:dyDescent="0.3">
      <c r="B61" s="53" t="s">
        <v>241</v>
      </c>
      <c r="D61" s="121">
        <f>IF(E61="Strongly disagree",0,IF(E61="disagree",1,IF(E61="non-perishable",2,IF(E61="agree",3,4))))</f>
        <v>0</v>
      </c>
      <c r="E61" s="31" t="s">
        <v>203</v>
      </c>
      <c r="F61" s="53"/>
      <c r="G61" s="314"/>
      <c r="H61" s="53"/>
    </row>
    <row r="62" spans="2:8" ht="15" customHeight="1" x14ac:dyDescent="0.3">
      <c r="B62" s="166" t="s">
        <v>218</v>
      </c>
      <c r="D62" s="146">
        <f>1-AVERAGE(D30,D36,D42,D49,D55)</f>
        <v>0.51721088435374152</v>
      </c>
      <c r="E62" s="49" t="str">
        <f>IF(D62&gt;80%,"Very Low",IF(D62&lt;=20%,"Very High",IF(D62&lt;=40%,"High",IF(D62&lt;=60%,"Medium","Low"))))</f>
        <v>Medium</v>
      </c>
      <c r="F62" s="53"/>
      <c r="G62" s="314"/>
      <c r="H62" s="53"/>
    </row>
    <row r="63" spans="2:8" ht="15" customHeight="1" x14ac:dyDescent="0.3">
      <c r="D63" s="6"/>
      <c r="G63" s="314"/>
    </row>
    <row r="64" spans="2:8" ht="15" customHeight="1" x14ac:dyDescent="0.3">
      <c r="B64" s="118" t="s">
        <v>219</v>
      </c>
      <c r="D64" s="115">
        <f>E64*4</f>
        <v>2.2672108843537417</v>
      </c>
      <c r="E64" s="145">
        <f>AVERAGE(AVERAGE(D12:D16)/4,AVERAGE(D18:D22)/4,AVERAGE(D24:D28)/4,D62)</f>
        <v>0.56680272108843543</v>
      </c>
      <c r="G64" s="314"/>
    </row>
    <row r="65" spans="2:7" ht="15" customHeight="1" x14ac:dyDescent="0.3">
      <c r="G65" s="315"/>
    </row>
    <row r="66" spans="2:7" ht="15" customHeight="1" x14ac:dyDescent="0.3">
      <c r="B66" s="54" t="s">
        <v>220</v>
      </c>
      <c r="C66" s="7"/>
      <c r="D66" s="7"/>
      <c r="E66" s="56"/>
    </row>
    <row r="67" spans="2:7" ht="15" customHeight="1" x14ac:dyDescent="0.3">
      <c r="B67" s="126" t="s">
        <v>221</v>
      </c>
      <c r="C67" s="127"/>
      <c r="D67" s="127"/>
      <c r="E67" s="128"/>
    </row>
    <row r="68" spans="2:7" ht="15" customHeight="1" x14ac:dyDescent="0.3">
      <c r="B68" s="129" t="s">
        <v>222</v>
      </c>
      <c r="C68" s="127"/>
      <c r="D68" s="127">
        <v>1</v>
      </c>
      <c r="E68" s="130">
        <f t="shared" ref="E68:E76" si="8">D68/MAX($D$68:$D$77)</f>
        <v>3.4013605442176874E-2</v>
      </c>
    </row>
    <row r="69" spans="2:7" ht="15" customHeight="1" x14ac:dyDescent="0.3">
      <c r="B69" s="129" t="str">
        <f t="shared" ref="B69:B77" si="9">C69&amp;", "&amp;D69&amp;"y"</f>
        <v>Information Technology Like, 6.6y</v>
      </c>
      <c r="C69" s="127" t="s">
        <v>223</v>
      </c>
      <c r="D69" s="127">
        <v>6.6</v>
      </c>
      <c r="E69" s="130">
        <f t="shared" si="8"/>
        <v>0.22448979591836735</v>
      </c>
    </row>
    <row r="70" spans="2:7" ht="15" customHeight="1" x14ac:dyDescent="0.3">
      <c r="B70" s="129" t="str">
        <f t="shared" si="9"/>
        <v>Healthcare, 11.4y</v>
      </c>
      <c r="C70" s="127" t="s">
        <v>224</v>
      </c>
      <c r="D70" s="127">
        <v>11.4</v>
      </c>
      <c r="E70" s="130">
        <f t="shared" si="8"/>
        <v>0.38775510204081637</v>
      </c>
    </row>
    <row r="71" spans="2:7" ht="15" customHeight="1" x14ac:dyDescent="0.3">
      <c r="B71" s="129" t="str">
        <f t="shared" si="9"/>
        <v>Consumer Discretionary, 12.4y</v>
      </c>
      <c r="C71" s="127" t="s">
        <v>225</v>
      </c>
      <c r="D71" s="127">
        <v>12.4</v>
      </c>
      <c r="E71" s="130">
        <f t="shared" si="8"/>
        <v>0.42176870748299322</v>
      </c>
    </row>
    <row r="72" spans="2:7" ht="15" customHeight="1" x14ac:dyDescent="0.3">
      <c r="B72" s="129" t="str">
        <f t="shared" si="9"/>
        <v>Consumer Staples, 15.1y</v>
      </c>
      <c r="C72" s="127" t="s">
        <v>226</v>
      </c>
      <c r="D72" s="127">
        <v>15.1</v>
      </c>
      <c r="E72" s="130">
        <f t="shared" si="8"/>
        <v>0.51360544217687076</v>
      </c>
    </row>
    <row r="73" spans="2:7" ht="15" customHeight="1" x14ac:dyDescent="0.3">
      <c r="B73" s="129" t="str">
        <f t="shared" si="9"/>
        <v>Industrials, 15.4y</v>
      </c>
      <c r="C73" s="127" t="s">
        <v>227</v>
      </c>
      <c r="D73" s="127">
        <v>15.4</v>
      </c>
      <c r="E73" s="130">
        <f t="shared" si="8"/>
        <v>0.52380952380952384</v>
      </c>
    </row>
    <row r="74" spans="2:7" ht="15" customHeight="1" x14ac:dyDescent="0.3">
      <c r="B74" s="129" t="str">
        <f t="shared" si="9"/>
        <v>Telecommunication Services, 16.1y</v>
      </c>
      <c r="C74" s="127" t="s">
        <v>228</v>
      </c>
      <c r="D74" s="127">
        <v>16.100000000000001</v>
      </c>
      <c r="E74" s="130">
        <f t="shared" si="8"/>
        <v>0.54761904761904767</v>
      </c>
    </row>
    <row r="75" spans="2:7" ht="15" customHeight="1" x14ac:dyDescent="0.3">
      <c r="B75" s="129" t="str">
        <f t="shared" si="9"/>
        <v>Energy, 17.6y</v>
      </c>
      <c r="C75" s="127" t="s">
        <v>229</v>
      </c>
      <c r="D75" s="127">
        <v>17.600000000000001</v>
      </c>
      <c r="E75" s="130">
        <f t="shared" si="8"/>
        <v>0.59863945578231303</v>
      </c>
    </row>
    <row r="76" spans="2:7" ht="15" customHeight="1" x14ac:dyDescent="0.3">
      <c r="B76" s="129" t="str">
        <f t="shared" si="9"/>
        <v>Materials, 18.6y</v>
      </c>
      <c r="C76" s="127" t="s">
        <v>230</v>
      </c>
      <c r="D76" s="127">
        <v>18.600000000000001</v>
      </c>
      <c r="E76" s="130">
        <f t="shared" si="8"/>
        <v>0.63265306122448983</v>
      </c>
    </row>
    <row r="77" spans="2:7" ht="15" customHeight="1" x14ac:dyDescent="0.3">
      <c r="B77" s="131" t="str">
        <f t="shared" si="9"/>
        <v>Utilities, 29.4y</v>
      </c>
      <c r="C77" s="132" t="s">
        <v>231</v>
      </c>
      <c r="D77" s="132">
        <v>29.4</v>
      </c>
      <c r="E77" s="13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19:E22 E24:E28 E12:E16 E43:E48 E56:E60 E31:E35 E37:E41 E50:E53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2023-03-17T09:25:05Z</dcterms:modified>
  <cp:category/>
  <cp:contentStatus/>
</cp:coreProperties>
</file>