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79A464BF-D666-4EEE-8E1B-BB535400A4EA}" xr6:coauthVersionLast="47" xr6:coauthVersionMax="47" xr10:uidLastSave="{00000000-0000-0000-0000-000000000000}"/>
  <bookViews>
    <workbookView xWindow="760" yWindow="760" windowWidth="14400" windowHeight="736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8" i="3" l="1"/>
  <c r="I7" i="3"/>
  <c r="I6" i="3"/>
  <c r="E26" i="1"/>
  <c r="C36" i="1"/>
  <c r="E7" i="3"/>
  <c r="E6" i="1"/>
  <c r="D7" i="1"/>
  <c r="C7" i="1" l="1"/>
  <c r="D12" i="4"/>
  <c r="D11" i="4"/>
  <c r="C11" i="4"/>
  <c r="C25" i="7"/>
  <c r="E25" i="7" s="1"/>
  <c r="G25" i="7" s="1"/>
  <c r="G22" i="7"/>
  <c r="I21" i="7"/>
  <c r="I23" i="7" s="1"/>
  <c r="G21" i="7"/>
  <c r="G23" i="7" s="1"/>
  <c r="E21" i="7"/>
  <c r="E23" i="7" s="1"/>
  <c r="C18" i="7"/>
  <c r="E18" i="7" s="1"/>
  <c r="C13" i="7"/>
  <c r="E13" i="7" s="1"/>
  <c r="C8" i="7"/>
  <c r="E8" i="7" s="1"/>
  <c r="C36" i="3"/>
  <c r="I25" i="7" l="1"/>
  <c r="I24" i="7" s="1"/>
  <c r="G24" i="7"/>
  <c r="E24" i="7"/>
  <c r="E19" i="7"/>
  <c r="G19" i="7" s="1"/>
  <c r="F8" i="7"/>
  <c r="F13" i="7"/>
  <c r="F18" i="7"/>
  <c r="C19" i="7"/>
  <c r="I19" i="7" s="1"/>
  <c r="D8" i="7"/>
  <c r="D13" i="7"/>
  <c r="D18" i="7"/>
  <c r="E16" i="1" l="1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3" i="4"/>
  <c r="D20" i="2" l="1"/>
  <c r="E20" i="2"/>
  <c r="F20" i="2"/>
  <c r="G20" i="2"/>
  <c r="H20" i="2"/>
  <c r="I20" i="2"/>
  <c r="J20" i="2"/>
  <c r="K20" i="2"/>
  <c r="L20" i="2"/>
  <c r="M20" i="2"/>
  <c r="C20" i="2"/>
  <c r="I20" i="7" l="1"/>
  <c r="G16" i="3"/>
  <c r="G20" i="7" l="1"/>
  <c r="I28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6" i="7" l="1"/>
  <c r="I4" i="3" l="1"/>
  <c r="D4" i="3"/>
  <c r="D6" i="1"/>
  <c r="E9" i="3"/>
  <c r="C3" i="7" l="1"/>
  <c r="C28" i="4"/>
  <c r="C3" i="4" l="1"/>
  <c r="E3" i="7"/>
  <c r="C15" i="4"/>
  <c r="B3" i="4"/>
  <c r="C17" i="4" s="1"/>
  <c r="C21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22" i="7"/>
  <c r="C24" i="7"/>
  <c r="B3" i="7"/>
  <c r="C23" i="7"/>
  <c r="C28" i="7" s="1"/>
  <c r="C31" i="7" s="1"/>
  <c r="E20" i="7"/>
  <c r="C4" i="4" l="1"/>
  <c r="C7" i="4" s="1"/>
  <c r="C8" i="4" s="1"/>
  <c r="C9" i="4" s="1"/>
  <c r="C10" i="4" s="1"/>
  <c r="C30" i="7"/>
  <c r="I32" i="3"/>
  <c r="C26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C39" i="2"/>
  <c r="I46" i="3"/>
  <c r="E19" i="3"/>
  <c r="I15" i="3"/>
  <c r="E31" i="3"/>
  <c r="E16" i="3"/>
  <c r="E20" i="3"/>
  <c r="C24" i="3"/>
  <c r="E28" i="7" l="1"/>
  <c r="E29" i="7" s="1"/>
  <c r="E31" i="7" s="1"/>
  <c r="E30" i="7" s="1"/>
  <c r="D52" i="3"/>
  <c r="C20" i="4" s="1"/>
  <c r="D20" i="4" s="1"/>
  <c r="I53" i="3"/>
  <c r="C44" i="3"/>
  <c r="C25" i="3"/>
  <c r="E27" i="7" l="1"/>
  <c r="G28" i="7"/>
  <c r="G27" i="7" s="1"/>
  <c r="D4" i="4"/>
  <c r="E26" i="7"/>
  <c r="C45" i="3"/>
  <c r="E12" i="3"/>
  <c r="G29" i="7" l="1"/>
  <c r="I29" i="7" s="1"/>
  <c r="I31" i="7" s="1"/>
  <c r="F4" i="4" s="1"/>
  <c r="F7" i="4" s="1"/>
  <c r="F8" i="4" s="1"/>
  <c r="F9" i="4" s="1"/>
  <c r="G26" i="7"/>
  <c r="I27" i="7"/>
  <c r="I3" i="7" s="1"/>
  <c r="F3" i="4" s="1"/>
  <c r="G4" i="4" s="1"/>
  <c r="B24" i="4" s="1"/>
  <c r="G2" i="4" s="1"/>
  <c r="D7" i="4"/>
  <c r="D8" i="4" s="1"/>
  <c r="D9" i="4" s="1"/>
  <c r="D10" i="4" s="1"/>
  <c r="D5" i="4"/>
  <c r="D53" i="5"/>
  <c r="I30" i="7" l="1"/>
  <c r="G31" i="7"/>
  <c r="E4" i="4" s="1"/>
  <c r="E35" i="3"/>
  <c r="G30" i="7" l="1"/>
  <c r="E7" i="4"/>
  <c r="E8" i="4" s="1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G30" i="1"/>
  <c r="E30" i="1"/>
  <c r="I28" i="1"/>
  <c r="I6" i="1"/>
  <c r="C2" i="1"/>
  <c r="D36" i="5" l="1"/>
  <c r="C33" i="2"/>
  <c r="E33" i="2"/>
  <c r="E34" i="2" s="1"/>
  <c r="D33" i="2"/>
  <c r="D34" i="2" s="1"/>
  <c r="D6" i="5"/>
  <c r="D55" i="5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l="1"/>
  <c r="F15" i="4"/>
  <c r="F25" i="4" s="1"/>
  <c r="G8" i="4" l="1"/>
  <c r="G9" i="4" s="1"/>
  <c r="G12" i="4" l="1"/>
  <c r="C33" i="4" s="1"/>
  <c r="I35" i="1" s="1"/>
  <c r="E25" i="4"/>
  <c r="G25" i="4" s="1"/>
  <c r="C29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F14" i="1" s="1"/>
  <c r="E5" i="5"/>
  <c r="C32" i="4" l="1"/>
  <c r="H14" i="1" s="1"/>
  <c r="J25" i="1" s="1"/>
  <c r="D14" i="1"/>
  <c r="D29" i="4"/>
  <c r="F32" i="4" l="1"/>
  <c r="E32" i="4"/>
  <c r="B17" i="1"/>
  <c r="C29" i="1" s="1"/>
  <c r="C35" i="1" s="1"/>
  <c r="B18" i="1" s="1"/>
  <c r="D18" i="1" s="1"/>
  <c r="D16" i="1"/>
  <c r="F18" i="1" l="1"/>
  <c r="J18" i="1"/>
  <c r="C30" i="1"/>
  <c r="C31" i="1"/>
  <c r="J17" i="1"/>
  <c r="F17" i="1"/>
  <c r="D17" i="1"/>
  <c r="E32" i="1" l="1"/>
  <c r="E33" i="1" s="1"/>
  <c r="C27" i="1"/>
  <c r="I27" i="1" s="1"/>
  <c r="I31" i="1"/>
  <c r="I32" i="1" s="1"/>
  <c r="I33" i="1" s="1"/>
</calcChain>
</file>

<file path=xl/sharedStrings.xml><?xml version="1.0" encoding="utf-8"?>
<sst xmlns="http://schemas.openxmlformats.org/spreadsheetml/2006/main" count="401" uniqueCount="332">
  <si>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</si>
  <si>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</si>
  <si>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</si>
  <si>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</si>
  <si>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</si>
  <si>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</si>
  <si>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</si>
  <si>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</si>
  <si>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</si>
  <si>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</si>
  <si>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</si>
  <si>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</si>
  <si>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</si>
  <si>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</si>
  <si>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</si>
  <si>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</si>
  <si>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</si>
  <si>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</si>
  <si>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</si>
  <si>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</si>
  <si>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</si>
  <si>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</si>
  <si>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</si>
  <si>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</si>
  <si>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</si>
  <si>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</si>
  <si>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</si>
  <si>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</si>
  <si>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</si>
  <si>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</si>
  <si>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</si>
  <si>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</si>
  <si>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</si>
  <si>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</si>
  <si>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</si>
  <si>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</si>
  <si>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</si>
  <si>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</si>
  <si>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</si>
  <si>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</si>
  <si>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</si>
  <si>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</si>
  <si>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</si>
  <si>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</si>
  <si>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</si>
  <si>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</si>
  <si>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</si>
  <si>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</si>
  <si>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</si>
  <si>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</si>
  <si>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</si>
  <si>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</si>
  <si>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</si>
  <si>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</si>
  <si>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</si>
  <si>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</si>
  <si>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</si>
  <si>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</si>
  <si>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</si>
  <si>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</si>
  <si>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</si>
  <si>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</si>
  <si>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</si>
  <si>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</si>
  <si>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</si>
  <si>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</si>
  <si>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</si>
  <si>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</si>
  <si>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</si>
  <si>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</si>
  <si>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</si>
  <si>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</si>
  <si>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</si>
  <si>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</si>
  <si>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</si>
  <si>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</si>
  <si>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</si>
  <si>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</si>
  <si>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</si>
  <si>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</si>
  <si>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</si>
  <si>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</si>
  <si>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</si>
  <si>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</si>
  <si>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</si>
  <si>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</si>
  <si>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</si>
  <si>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</si>
  <si>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</si>
  <si>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</si>
  <si>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</si>
  <si>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</si>
  <si>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</si>
  <si>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</si>
  <si>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</si>
  <si>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</si>
  <si>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</si>
  <si>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</si>
  <si>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</si>
  <si>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</si>
  <si>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</si>
  <si>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</si>
  <si>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</si>
  <si>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</si>
  <si>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</si>
  <si>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</si>
  <si>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</si>
  <si>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</si>
  <si>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</si>
  <si>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</si>
  <si>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</si>
  <si>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</si>
  <si>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</si>
  <si>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</si>
  <si>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</si>
  <si>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</si>
  <si>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</si>
  <si>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</si>
  <si>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</si>
  <si>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</si>
  <si>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</si>
  <si>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</si>
  <si>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</si>
  <si>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</si>
  <si>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</si>
  <si>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</si>
  <si>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</si>
  <si>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</si>
  <si>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</si>
  <si>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</si>
  <si>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</si>
  <si>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</si>
  <si>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</si>
  <si>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</si>
  <si>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</si>
  <si>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</si>
  <si>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</si>
  <si>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</si>
  <si>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</si>
  <si>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</si>
  <si>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</si>
  <si>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</si>
  <si>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</si>
  <si>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</si>
  <si>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</si>
  <si>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</si>
  <si>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</si>
  <si>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</si>
  <si>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</si>
  <si>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</si>
  <si>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</si>
  <si>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</si>
  <si>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</si>
  <si>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</si>
  <si>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</si>
  <si>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</si>
  <si>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</si>
  <si>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</si>
  <si>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</si>
  <si>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</si>
  <si>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</si>
  <si>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</si>
  <si>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</si>
  <si>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</si>
  <si>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</si>
  <si>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</si>
  <si>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</si>
  <si>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</si>
  <si>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</si>
  <si>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</si>
  <si>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</si>
  <si>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</si>
  <si>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</si>
  <si>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</si>
  <si>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</si>
  <si>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</si>
  <si>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</si>
  <si>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</si>
  <si>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</si>
  <si>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</si>
  <si>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</si>
  <si>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</si>
  <si>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</si>
  <si>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</si>
  <si>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</si>
  <si>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</si>
  <si>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</si>
  <si>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</si>
  <si>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</si>
  <si>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</si>
  <si>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</si>
  <si>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</si>
  <si>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</si>
  <si>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</si>
  <si>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</si>
  <si>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</si>
  <si>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</si>
  <si>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</si>
  <si>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</si>
  <si>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</si>
  <si>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</si>
  <si>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</si>
  <si>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</si>
  <si>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</si>
  <si>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</si>
  <si>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</si>
  <si>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</si>
  <si>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</si>
  <si>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</si>
  <si>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</si>
  <si>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</si>
  <si>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</si>
  <si>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</si>
  <si>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</si>
  <si>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</si>
  <si>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</si>
  <si>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</si>
  <si>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</si>
  <si>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</si>
  <si>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</si>
  <si>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</si>
  <si>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</si>
  <si>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</si>
  <si>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</si>
  <si>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</si>
  <si>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</si>
  <si>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</si>
  <si>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</si>
  <si>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</si>
  <si>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</si>
  <si>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</si>
  <si>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</si>
  <si>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</si>
  <si>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</si>
  <si>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</si>
  <si>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</si>
  <si>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</si>
  <si>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</si>
  <si>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</si>
  <si>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</si>
  <si>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</si>
  <si>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</si>
  <si>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</si>
  <si>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</si>
  <si>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</si>
  <si>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</si>
  <si>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</si>
  <si>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</si>
  <si>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</si>
  <si>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</si>
  <si>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</si>
  <si>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</si>
  <si>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</si>
  <si>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</si>
  <si>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</si>
  <si>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</si>
  <si>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</si>
  <si>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</si>
  <si>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</si>
  <si>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</si>
  <si>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</si>
  <si>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</si>
  <si>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</si>
  <si>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</si>
  <si>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</si>
  <si>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</si>
  <si>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</si>
  <si>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</si>
  <si>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</si>
  <si>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</si>
  <si>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Cyclicals</t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</si>
  <si>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</si>
  <si>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</si>
  <si>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</si>
  <si>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</si>
  <si>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</si>
  <si>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</si>
  <si>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</si>
  <si>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</si>
  <si>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</si>
  <si>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</si>
  <si>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</si>
  <si>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</si>
  <si>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</si>
  <si>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</si>
  <si>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</si>
  <si>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</si>
  <si>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The company disclosure on revenue detail is lagging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</si>
  <si>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</si>
  <si>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</si>
  <si>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</si>
  <si>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</si>
  <si>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</si>
  <si>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</si>
  <si>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</si>
  <si>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</si>
  <si>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</si>
  <si>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</si>
  <si>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</si>
  <si>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</si>
  <si>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</si>
  <si>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</si>
  <si>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</si>
  <si>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</si>
  <si>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</si>
  <si>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</si>
  <si>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</si>
  <si>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</si>
  <si>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</si>
  <si>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</si>
  <si>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</si>
  <si>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0303.HK</t>
  </si>
  <si>
    <t>VTECH HOLDINGS</t>
  </si>
  <si>
    <t>USD</t>
  </si>
  <si>
    <t>北美洲</t>
  </si>
  <si>
    <t>歐洲</t>
  </si>
  <si>
    <t>亞太區</t>
  </si>
  <si>
    <t>其他地區</t>
  </si>
  <si>
    <t>電子學習產品</t>
  </si>
  <si>
    <t>電訊產品</t>
  </si>
  <si>
    <t>承包生產服務</t>
  </si>
  <si>
    <t>Consumer Discretionary, 12.4y</t>
  </si>
  <si>
    <t>Considered a stable business</t>
  </si>
  <si>
    <t>The dividend is too high for this company to bear</t>
  </si>
  <si>
    <t xml:space="preserve">Ideal Excess Return after MOS = </t>
  </si>
  <si>
    <t>Ideal price =</t>
  </si>
  <si>
    <t>Next Buy Price =</t>
  </si>
  <si>
    <t>Next Sell Price =</t>
  </si>
  <si>
    <t>Next Buy Shares =</t>
  </si>
  <si>
    <t>Book Current Ratio</t>
  </si>
  <si>
    <t>Book Quick Ratio</t>
  </si>
  <si>
    <t>Book 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</si>
</sst>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indexed="64"/>
      </top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0" fontId="29" fillId="0" borderId="0" xfId="0" applyFont="1" applyAlignment="1">
      <alignment horizontal="right"/>
    </xf>
    <xf numFmtId="9" fontId="2" fillId="0" borderId="106" xfId="0" applyNumberFormat="1" applyFont="1" applyBorder="1" applyAlignment="1">
      <alignment horizontal="center"/>
    </xf>
    <xf numFmtId="9" fontId="2" fillId="0" borderId="107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opLeftCell="A10" zoomScaleNormal="100" workbookViewId="0">
      <selection activeCell="G30" sqref="G30:H3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0303.HK : VTECH HOLDINGS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11" t="s">
        <v>311</v>
      </c>
      <c r="D3" s="412"/>
      <c r="E3" s="15"/>
      <c r="G3" s="7" t="s">
        <v>2</v>
      </c>
      <c r="I3" s="421" t="s">
        <v>3</v>
      </c>
      <c r="J3" s="422"/>
    </row>
    <row r="4" spans="1:12" ht="15.75" customHeight="1" x14ac:dyDescent="0.3">
      <c r="B4" s="5" t="s">
        <v>4</v>
      </c>
      <c r="C4" s="413" t="s">
        <v>312</v>
      </c>
      <c r="D4" s="414"/>
      <c r="E4" s="6"/>
      <c r="G4" s="5" t="s">
        <v>5</v>
      </c>
      <c r="I4" s="32">
        <v>45.95</v>
      </c>
      <c r="J4" s="33" t="s">
        <v>6</v>
      </c>
      <c r="K4" s="152"/>
    </row>
    <row r="5" spans="1:12" ht="15.75" customHeight="1" x14ac:dyDescent="0.3">
      <c r="B5" s="5" t="s">
        <v>7</v>
      </c>
      <c r="C5" s="415">
        <v>44986</v>
      </c>
      <c r="D5" s="414"/>
      <c r="E5" s="122" t="str">
        <f ca="1">IF(C5+30&gt;=TODAY(),"Patience Premium","")</f>
        <v>Patience Premium</v>
      </c>
      <c r="G5" s="5" t="s">
        <v>8</v>
      </c>
      <c r="I5" s="404">
        <v>252702000</v>
      </c>
      <c r="J5" s="405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45077</v>
      </c>
      <c r="E6" s="355">
        <f>Data!C3</f>
        <v>44651</v>
      </c>
      <c r="G6" s="134" t="s">
        <v>9</v>
      </c>
      <c r="H6" s="133"/>
      <c r="I6" s="423">
        <f>I4*I5/1000000</f>
        <v>11611.6569</v>
      </c>
      <c r="J6" s="424"/>
      <c r="K6" s="151"/>
    </row>
    <row r="7" spans="1:12" ht="15.75" customHeight="1" x14ac:dyDescent="0.3">
      <c r="B7" s="139" t="s">
        <v>10</v>
      </c>
      <c r="C7" s="145">
        <f>(Data!C39*Exchange_Rate)/I4</f>
        <v>0.15526188833916355</v>
      </c>
      <c r="D7" s="145">
        <f>(Data!C40*Exchange_Rate)/I4</f>
        <v>1.0814933449832898E-3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8.5665073877380475</v>
      </c>
      <c r="J9" s="48">
        <f>IF(I9="NNI","NNI",1/I9)</f>
        <v>0.11673368792413381</v>
      </c>
    </row>
    <row r="10" spans="1:12" ht="15.75" customHeight="1" x14ac:dyDescent="0.3">
      <c r="B10" s="3" t="s">
        <v>275</v>
      </c>
      <c r="C10" s="300" t="s">
        <v>276</v>
      </c>
      <c r="D10" s="300">
        <v>2.8999999999999998E-2</v>
      </c>
      <c r="E10" s="5"/>
      <c r="G10" s="5" t="s">
        <v>14</v>
      </c>
      <c r="I10" s="138">
        <f>I4/(Data!C28*I12*Data!C4/Common_Shares)</f>
        <v>2.1794870740459054</v>
      </c>
      <c r="J10" s="130">
        <f>IF(Asset_Model!D60/'FCFF Model'!C4&lt;0,"Negative EV",Asset_Model!D60/'FCFF Model'!C4)</f>
        <v>76.852060042421272</v>
      </c>
    </row>
    <row r="11" spans="1:12" ht="15.75" customHeight="1" thickBot="1" x14ac:dyDescent="0.35">
      <c r="B11" s="313" t="s">
        <v>278</v>
      </c>
      <c r="C11" s="432">
        <f ca="1">C12-D10</f>
        <v>6.7000000000000004E-2</v>
      </c>
      <c r="D11" s="433"/>
      <c r="E11" s="13"/>
      <c r="G11" s="5" t="s">
        <v>15</v>
      </c>
      <c r="H11" s="6"/>
      <c r="I11" s="430" t="s">
        <v>313</v>
      </c>
      <c r="J11" s="431"/>
    </row>
    <row r="12" spans="1:12" ht="15.75" customHeight="1" thickTop="1" x14ac:dyDescent="0.3">
      <c r="B12" s="314" t="s">
        <v>150</v>
      </c>
      <c r="C12" s="361">
        <f ca="1">IF(C10="CN",8%,6%)*IF($C$5+30&gt;=TODAY(),1.2,1)</f>
        <v>9.6000000000000002E-2</v>
      </c>
      <c r="D12" s="362"/>
      <c r="G12" s="134" t="s">
        <v>16</v>
      </c>
      <c r="H12" s="133"/>
      <c r="I12" s="135">
        <v>7.8487060384870606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Model'!C29,'FCFF Model'!E29)</f>
        <v>21.390868810363322</v>
      </c>
      <c r="E14" s="127" t="s">
        <v>234</v>
      </c>
      <c r="F14" s="184">
        <f ca="1">MAX('FCFF Model'!C29,'FCFF Model'!E29)</f>
        <v>38.135997105533392</v>
      </c>
      <c r="G14" s="185" t="s">
        <v>24</v>
      </c>
      <c r="H14" s="193">
        <f ca="1">IF('FCFF Model'!C32&lt;0, "Error", 'FCFF Model'!C32)</f>
        <v>31.501594361852618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45.95</v>
      </c>
      <c r="C16" s="369">
        <v>0.1</v>
      </c>
      <c r="D16" s="159">
        <f ca="1">H14/B16-1-C16</f>
        <v>-0.41443755469308774</v>
      </c>
      <c r="E16" s="366">
        <f>'FCFF Model'!D11*Exchange_Rate</f>
        <v>3.6888918380889182</v>
      </c>
      <c r="F16" s="161">
        <f>E16/B16</f>
        <v>8.0280562308790382E-2</v>
      </c>
      <c r="G16" s="394" t="s">
        <v>25</v>
      </c>
      <c r="H16" s="425">
        <f>('FCFF Model'!G19)*Exchange_Rate</f>
        <v>-5.1520896457655008</v>
      </c>
      <c r="I16" s="394" t="s">
        <v>26</v>
      </c>
      <c r="J16" s="206">
        <f>B16-$H$16</f>
        <v>51.102089645765503</v>
      </c>
    </row>
    <row r="17" spans="1:10" ht="15.75" customHeight="1" x14ac:dyDescent="0.3">
      <c r="B17" s="290">
        <f ca="1">H14/(1+C16)</f>
        <v>28.63781305622965</v>
      </c>
      <c r="C17" s="370"/>
      <c r="D17" s="289">
        <f ca="1">H14/B17-1-C16</f>
        <v>0</v>
      </c>
      <c r="E17" s="367"/>
      <c r="F17" s="162">
        <f ca="1">E16/B17</f>
        <v>0.12881192536755054</v>
      </c>
      <c r="G17" s="395"/>
      <c r="H17" s="426"/>
      <c r="I17" s="395"/>
      <c r="J17" s="205">
        <f ca="1">B17-$H$16</f>
        <v>33.789902701995153</v>
      </c>
    </row>
    <row r="18" spans="1:10" ht="15.75" customHeight="1" x14ac:dyDescent="0.3">
      <c r="B18" s="358">
        <f ca="1">C35</f>
        <v>28.63781305622965</v>
      </c>
      <c r="C18" s="371"/>
      <c r="D18" s="160">
        <f ca="1">H14/B18-1-C16</f>
        <v>0</v>
      </c>
      <c r="E18" s="368"/>
      <c r="F18" s="163">
        <f ca="1">E16/B18</f>
        <v>0.12881192536755054</v>
      </c>
      <c r="G18" s="396"/>
      <c r="H18" s="427"/>
      <c r="I18" s="396"/>
      <c r="J18" s="207">
        <f ca="1">B18-$H$16</f>
        <v>33.789902701995153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270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18"/>
      <c r="D21" s="419"/>
      <c r="E21" s="419"/>
      <c r="F21" s="419"/>
      <c r="G21" s="419"/>
      <c r="H21" s="419"/>
      <c r="I21" s="419"/>
      <c r="J21" s="420"/>
    </row>
    <row r="22" spans="1:10" ht="52.5" customHeight="1" x14ac:dyDescent="0.3">
      <c r="A22" s="6"/>
      <c r="B22" s="24" t="s">
        <v>29</v>
      </c>
      <c r="C22" s="429"/>
      <c r="D22" s="373"/>
      <c r="E22" s="373"/>
      <c r="F22" s="373"/>
      <c r="G22" s="429"/>
      <c r="H22" s="429"/>
      <c r="I22" s="373"/>
      <c r="J22" s="373"/>
    </row>
    <row r="23" spans="1:10" ht="52.5" customHeight="1" x14ac:dyDescent="0.3">
      <c r="A23" s="6"/>
      <c r="B23" s="25" t="s">
        <v>30</v>
      </c>
      <c r="C23" s="392"/>
      <c r="D23" s="393"/>
      <c r="E23" s="393"/>
      <c r="F23" s="393"/>
      <c r="G23" s="392"/>
      <c r="H23" s="392"/>
      <c r="I23" s="393"/>
      <c r="J23" s="393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6">
        <v>0.15</v>
      </c>
      <c r="I25" s="30" t="s">
        <v>325</v>
      </c>
      <c r="J25" s="357">
        <f ca="1">H14/(H25+C16+1)</f>
        <v>25.201275489482093</v>
      </c>
    </row>
    <row r="26" spans="1:10" ht="15.75" customHeight="1" x14ac:dyDescent="0.3">
      <c r="B26" s="23" t="s">
        <v>33</v>
      </c>
      <c r="C26" s="416"/>
      <c r="D26" s="417"/>
      <c r="E26" s="374" t="str">
        <f>IF(C26="","","Action_Planning")</f>
        <v/>
      </c>
      <c r="F26" s="375"/>
      <c r="G26" s="375"/>
      <c r="H26" s="376"/>
      <c r="I26" s="428" t="s">
        <v>34</v>
      </c>
      <c r="J26" s="428"/>
    </row>
    <row r="27" spans="1:10" ht="15.75" customHeight="1" x14ac:dyDescent="0.3">
      <c r="B27" s="23" t="s">
        <v>35</v>
      </c>
      <c r="C27" s="365">
        <f ca="1">C31/D25</f>
        <v>0.14318906528114825</v>
      </c>
      <c r="D27" s="364"/>
      <c r="E27" s="363">
        <f>E31/D25</f>
        <v>0</v>
      </c>
      <c r="F27" s="364"/>
      <c r="G27" s="398">
        <f>G31/D25</f>
        <v>0</v>
      </c>
      <c r="H27" s="399"/>
      <c r="I27" s="397">
        <f ca="1">C27+E27+G27</f>
        <v>0.14318906528114825</v>
      </c>
      <c r="J27" s="397"/>
    </row>
    <row r="28" spans="1:10" ht="15.75" customHeight="1" x14ac:dyDescent="0.3">
      <c r="B28" s="23" t="s">
        <v>36</v>
      </c>
      <c r="C28" s="359">
        <v>3000</v>
      </c>
      <c r="D28" s="373"/>
      <c r="E28" s="359"/>
      <c r="F28" s="373"/>
      <c r="G28" s="404"/>
      <c r="H28" s="405"/>
      <c r="I28" s="408">
        <f>C28+E28+G28</f>
        <v>3000</v>
      </c>
      <c r="J28" s="408"/>
    </row>
    <row r="29" spans="1:10" ht="15.75" customHeight="1" x14ac:dyDescent="0.3">
      <c r="B29" s="23" t="s">
        <v>37</v>
      </c>
      <c r="C29" s="372">
        <f ca="1">B17</f>
        <v>28.63781305622965</v>
      </c>
      <c r="D29" s="373"/>
      <c r="E29" s="372"/>
      <c r="F29" s="373"/>
      <c r="G29" s="400"/>
      <c r="H29" s="401"/>
      <c r="I29" s="406"/>
      <c r="J29" s="406"/>
    </row>
    <row r="30" spans="1:10" ht="15.75" customHeight="1" x14ac:dyDescent="0.3">
      <c r="B30" s="23" t="s">
        <v>38</v>
      </c>
      <c r="C30" s="385">
        <f ca="1">C29*$I$5/1000000</f>
        <v>7236.8326349353447</v>
      </c>
      <c r="D30" s="386"/>
      <c r="E30" s="385">
        <f>E29*$I$5/1000000</f>
        <v>0</v>
      </c>
      <c r="F30" s="386"/>
      <c r="G30" s="402">
        <f>G29*$I$5/1000000</f>
        <v>0</v>
      </c>
      <c r="H30" s="403"/>
      <c r="I30" s="407"/>
      <c r="J30" s="407"/>
    </row>
    <row r="31" spans="1:10" ht="15.75" customHeight="1" x14ac:dyDescent="0.3">
      <c r="B31" s="2" t="s">
        <v>39</v>
      </c>
      <c r="C31" s="387">
        <f ca="1">C28*C29</f>
        <v>85913.439168688943</v>
      </c>
      <c r="D31" s="388"/>
      <c r="E31" s="389">
        <f>E28*E29</f>
        <v>0</v>
      </c>
      <c r="F31" s="390"/>
      <c r="G31" s="409">
        <f>G28*G29</f>
        <v>0</v>
      </c>
      <c r="H31" s="410"/>
      <c r="I31" s="389">
        <f ca="1">C31+E31+G31</f>
        <v>85913.439168688943</v>
      </c>
      <c r="J31" s="389"/>
    </row>
    <row r="32" spans="1:10" ht="15.75" customHeight="1" x14ac:dyDescent="0.3">
      <c r="B32" s="1" t="s">
        <v>40</v>
      </c>
      <c r="C32" s="381"/>
      <c r="D32" s="382"/>
      <c r="E32" s="391">
        <f ca="1">IF(C31=0,"-",(C31+E31)/(C28+E28))</f>
        <v>28.637813056229646</v>
      </c>
      <c r="F32" s="364"/>
      <c r="G32" s="117"/>
      <c r="H32" s="117"/>
      <c r="I32" s="391">
        <f ca="1">IF(I31=0,"",I31/I28)</f>
        <v>28.637813056229646</v>
      </c>
      <c r="J32" s="391"/>
    </row>
    <row r="33" spans="2:10" ht="15.75" customHeight="1" x14ac:dyDescent="0.3">
      <c r="B33" s="1" t="s">
        <v>41</v>
      </c>
      <c r="C33" s="383"/>
      <c r="D33" s="384"/>
      <c r="E33" s="385">
        <f ca="1">IF(E32="-","-",E32*$I$5/1000000)</f>
        <v>7236.8326349353438</v>
      </c>
      <c r="F33" s="386"/>
      <c r="G33" s="118"/>
      <c r="H33" s="118"/>
      <c r="I33" s="385">
        <f ca="1">IF(I32="","",I32*$I$5/1000000)</f>
        <v>7236.8326349353438</v>
      </c>
      <c r="J33" s="385"/>
    </row>
    <row r="34" spans="2:10" ht="15.75" customHeight="1" x14ac:dyDescent="0.3"/>
    <row r="35" spans="2:10" ht="15.75" customHeight="1" x14ac:dyDescent="0.3">
      <c r="B35" s="146" t="s">
        <v>326</v>
      </c>
      <c r="C35" s="377">
        <f ca="1">C29</f>
        <v>28.63781305622965</v>
      </c>
      <c r="D35" s="378"/>
      <c r="G35" s="379" t="s">
        <v>327</v>
      </c>
      <c r="H35" s="380"/>
      <c r="I35" s="377">
        <f ca="1">'FCFF Model'!C33</f>
        <v>44.069106328733717</v>
      </c>
      <c r="J35" s="378"/>
    </row>
    <row r="36" spans="2:10" ht="15.75" customHeight="1" x14ac:dyDescent="0.3">
      <c r="B36" s="146" t="s">
        <v>328</v>
      </c>
      <c r="C36" s="359">
        <f>C28</f>
        <v>3000</v>
      </c>
      <c r="D36" s="360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2">
    <mergeCell ref="C30:D30"/>
    <mergeCell ref="C28:D28"/>
    <mergeCell ref="E29:F29"/>
    <mergeCell ref="E30:F30"/>
    <mergeCell ref="E28:F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1:H31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  <mergeCell ref="E31:F31"/>
    <mergeCell ref="E32:F32"/>
  </mergeCells>
  <conditionalFormatting sqref="I16">
    <cfRule type="cellIs" dxfId="19" priority="23" operator="lessThan">
      <formula>0</formula>
    </cfRule>
  </conditionalFormatting>
  <conditionalFormatting sqref="C26:D26 I26 C28:G29 I28:I29">
    <cfRule type="containsBlanks" priority="17">
      <formula>LEN(TRIM(C26))=0</formula>
    </cfRule>
  </conditionalFormatting>
  <conditionalFormatting sqref="D16 D18">
    <cfRule type="cellIs" dxfId="18" priority="13" operator="lessThan">
      <formula>0</formula>
    </cfRule>
  </conditionalFormatting>
  <conditionalFormatting sqref="H16">
    <cfRule type="cellIs" dxfId="17" priority="8" operator="greaterThan">
      <formula>$B$16</formula>
    </cfRule>
  </conditionalFormatting>
  <conditionalFormatting sqref="H14">
    <cfRule type="cellIs" dxfId="16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5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7" zoomScaleNormal="100" workbookViewId="0">
      <selection activeCell="C39" sqref="C39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44651</v>
      </c>
      <c r="D3" s="6"/>
      <c r="E3" s="179">
        <v>1</v>
      </c>
      <c r="F3" s="177">
        <f t="array" ref="F3">AVERAGE(C19:INDEX(C19:M19,1,E3))</f>
        <v>172700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288600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44651</v>
      </c>
      <c r="D6" s="280">
        <f>EOMONTH(EDATE(C6,-12),0)</f>
        <v>44286</v>
      </c>
      <c r="E6" s="280">
        <f t="shared" ref="E6:M6" si="0">EOMONTH(EDATE(D6,-12),0)</f>
        <v>43921</v>
      </c>
      <c r="F6" s="280">
        <f t="shared" si="0"/>
        <v>43555</v>
      </c>
      <c r="G6" s="280">
        <f t="shared" si="0"/>
        <v>43190</v>
      </c>
      <c r="H6" s="280">
        <f t="shared" si="0"/>
        <v>42825</v>
      </c>
      <c r="I6" s="280">
        <f t="shared" si="0"/>
        <v>42460</v>
      </c>
      <c r="J6" s="280">
        <f t="shared" si="0"/>
        <v>42094</v>
      </c>
      <c r="K6" s="280">
        <f t="shared" si="0"/>
        <v>41729</v>
      </c>
      <c r="L6" s="280">
        <f t="shared" si="0"/>
        <v>41364</v>
      </c>
      <c r="M6" s="280">
        <f t="shared" si="0"/>
        <v>40999</v>
      </c>
    </row>
    <row r="7" spans="1:14" ht="15.75" customHeight="1" x14ac:dyDescent="0.3">
      <c r="A7" s="9"/>
      <c r="B7" s="43" t="s">
        <v>45</v>
      </c>
      <c r="C7" s="35">
        <v>2370500</v>
      </c>
      <c r="D7" s="35">
        <v>2372300</v>
      </c>
      <c r="E7" s="35">
        <v>2165500</v>
      </c>
      <c r="F7" s="35">
        <v>2161900</v>
      </c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-7.5875732411578856E-4</v>
      </c>
      <c r="D8" s="14">
        <f t="shared" si="1"/>
        <v>9.5497575617640162E-2</v>
      </c>
      <c r="E8" s="14">
        <f t="shared" si="1"/>
        <v>1.6652019057310508E-3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1701400</v>
      </c>
      <c r="D9" s="35">
        <v>1645700</v>
      </c>
      <c r="E9" s="35">
        <v>1501900</v>
      </c>
      <c r="F9" s="35">
        <v>1525500</v>
      </c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0.282261126344653</v>
      </c>
      <c r="D10" s="14">
        <f t="shared" si="2"/>
        <v>0.30628503983475952</v>
      </c>
      <c r="E10" s="14">
        <f t="shared" si="2"/>
        <v>0.30644193027014549</v>
      </c>
      <c r="F10" s="14">
        <f t="shared" si="2"/>
        <v>0.29437069244645914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380500</v>
      </c>
      <c r="D11" s="35">
        <v>378200</v>
      </c>
      <c r="E11" s="35">
        <v>368100</v>
      </c>
      <c r="F11" s="35">
        <v>371900</v>
      </c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0.16051465935456652</v>
      </c>
      <c r="D12" s="14">
        <f t="shared" si="3"/>
        <v>0.15942334443367198</v>
      </c>
      <c r="E12" s="14">
        <f t="shared" si="3"/>
        <v>0.16998383745093515</v>
      </c>
      <c r="F12" s="14">
        <f t="shared" si="3"/>
        <v>0.17202460798371805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0.12174646699008648</v>
      </c>
      <c r="D13" s="14">
        <f t="shared" si="4"/>
        <v>0.14686169540108754</v>
      </c>
      <c r="E13" s="14">
        <f t="shared" si="4"/>
        <v>0.13645809281921034</v>
      </c>
      <c r="F13" s="14">
        <f t="shared" si="4"/>
        <v>0.1223460844627411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288600</v>
      </c>
      <c r="D14" s="27">
        <f t="shared" si="5"/>
        <v>348400</v>
      </c>
      <c r="E14" s="27">
        <f t="shared" si="5"/>
        <v>295500</v>
      </c>
      <c r="F14" s="27">
        <f t="shared" si="5"/>
        <v>264500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-0.17164179104477612</v>
      </c>
      <c r="D15" s="14">
        <f t="shared" ref="D15:M15" si="6">IF(E14="","",IF(ABS(D14+E14)=ABS(D14)+ABS(E14),IF(D14&lt;0,-1,1)*(D14-E14)/E14,"Turn"))</f>
        <v>0.17901861252115059</v>
      </c>
      <c r="E15" s="14">
        <f t="shared" si="6"/>
        <v>0.11720226843100189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IF(C14="","",C14*(1-Operation!$D$29))</f>
        <v>288600</v>
      </c>
      <c r="D16" s="143">
        <f>IF(D14="","",D14*(1-Operation!$D$29))</f>
        <v>348400</v>
      </c>
      <c r="E16" s="143">
        <f>IF(E14="","",E14*(1-Operation!$D$29))</f>
        <v>295500</v>
      </c>
      <c r="F16" s="143">
        <f>IF(F14="","",F14*(1-Operation!$D$29))</f>
        <v>264500</v>
      </c>
      <c r="G16" s="143" t="str">
        <f>IF(G14="","",G14*(1-Operation!$D$29))</f>
        <v/>
      </c>
      <c r="H16" s="143" t="str">
        <f>IF(H14="","",H14*(1-Operation!$D$29))</f>
        <v/>
      </c>
      <c r="I16" s="143" t="str">
        <f>IF(I14="","",I14*(1-Operation!$D$29))</f>
        <v/>
      </c>
      <c r="J16" s="143" t="str">
        <f>IF(J14="","",J14*(1-Operation!$D$29))</f>
        <v/>
      </c>
      <c r="K16" s="143" t="str">
        <f>IF(K14="","",K14*(1-Operation!$D$29))</f>
        <v/>
      </c>
      <c r="L16" s="143" t="str">
        <f>IF(L14="","",L14*(1-Operation!$D$29))</f>
        <v/>
      </c>
      <c r="M16" s="243" t="str">
        <f>IF(M14="","",M14*(1-Operation!$D$29))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0.12174646699008648</v>
      </c>
      <c r="D17" s="129">
        <f t="shared" si="7"/>
        <v>0.14686169540108754</v>
      </c>
      <c r="E17" s="129">
        <f t="shared" si="7"/>
        <v>0.13645809281921034</v>
      </c>
      <c r="F17" s="129">
        <f t="shared" si="7"/>
        <v>0.1223460844627411</v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9600</v>
      </c>
      <c r="D18" s="144">
        <v>7300</v>
      </c>
      <c r="E18" s="144">
        <v>7400</v>
      </c>
      <c r="F18" s="144">
        <v>0</v>
      </c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172700</v>
      </c>
      <c r="D19" s="35">
        <v>230900</v>
      </c>
      <c r="E19" s="35">
        <v>190700</v>
      </c>
      <c r="F19" s="35">
        <v>171300</v>
      </c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273</v>
      </c>
      <c r="C20" s="14">
        <f>IF(D19="","",IF(ABS(C19+D19)=ABS(C19)+ABS(D19),IF(C19&lt;0,-1,1)*(C19-D19)/D19,"Turn"))</f>
        <v>-0.25205716760502384</v>
      </c>
      <c r="D20" s="14">
        <f t="shared" ref="D20:M20" si="8">IF(E19="","",IF(ABS(D19+E19)=ABS(D19)+ABS(E19),IF(D19&lt;0,-1,1)*(D19-E19)/E19,"Turn"))</f>
        <v>0.21080230728893551</v>
      </c>
      <c r="E20" s="14">
        <f t="shared" si="8"/>
        <v>0.11325160537069469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1142200</v>
      </c>
      <c r="D21" s="35">
        <v>1080300</v>
      </c>
      <c r="E21" s="35">
        <v>889800</v>
      </c>
      <c r="F21" s="35">
        <v>929600</v>
      </c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628000</v>
      </c>
      <c r="D22" s="35">
        <v>523000</v>
      </c>
      <c r="E22" s="35">
        <v>441900</v>
      </c>
      <c r="F22" s="35">
        <v>476500</v>
      </c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20600</v>
      </c>
      <c r="D23" s="35">
        <v>17500</v>
      </c>
      <c r="E23" s="35">
        <v>17900</v>
      </c>
      <c r="F23" s="35">
        <v>0</v>
      </c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20600</v>
      </c>
      <c r="D24" s="140">
        <v>17500</v>
      </c>
      <c r="E24" s="140">
        <v>17900</v>
      </c>
      <c r="F24" s="140">
        <v>0</v>
      </c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176500</v>
      </c>
      <c r="D25" s="35">
        <v>188600</v>
      </c>
      <c r="E25" s="35">
        <v>147300</v>
      </c>
      <c r="F25" s="35">
        <v>0</v>
      </c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176500</v>
      </c>
      <c r="D26" s="140">
        <v>188600</v>
      </c>
      <c r="E26" s="140">
        <v>147300</v>
      </c>
      <c r="F26" s="140">
        <v>0</v>
      </c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197100</v>
      </c>
      <c r="D27" s="27">
        <f t="shared" si="9"/>
        <v>206100</v>
      </c>
      <c r="E27" s="27">
        <f t="shared" si="9"/>
        <v>165200</v>
      </c>
      <c r="F27" s="27">
        <f t="shared" si="9"/>
        <v>0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678800</v>
      </c>
      <c r="D28" s="35">
        <v>731100</v>
      </c>
      <c r="E28" s="35">
        <v>601500</v>
      </c>
      <c r="F28" s="35">
        <v>607000</v>
      </c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678800</v>
      </c>
      <c r="D29" s="140">
        <v>731100</v>
      </c>
      <c r="E29" s="140">
        <v>601500</v>
      </c>
      <c r="F29" s="140">
        <v>607000</v>
      </c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268100</v>
      </c>
      <c r="D30" s="35">
        <v>285300</v>
      </c>
      <c r="E30" s="35">
        <v>232200</v>
      </c>
      <c r="F30" s="35">
        <v>88800</v>
      </c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195800</v>
      </c>
      <c r="D31" s="35">
        <v>343800</v>
      </c>
      <c r="E31" s="35">
        <v>242500</v>
      </c>
      <c r="F31" s="35">
        <v>237000</v>
      </c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-6.4155165982842224E-2</v>
      </c>
      <c r="D32" s="14">
        <f t="shared" si="10"/>
        <v>0.18611987381703471</v>
      </c>
      <c r="E32" s="14">
        <f t="shared" si="10"/>
        <v>0.61757105943152457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-250.73191309850242</v>
      </c>
      <c r="D33" s="248">
        <f>IF(E7="","",(D7-E7)*Asset_Model!$D$65)</f>
        <v>28806.310904872389</v>
      </c>
      <c r="E33" s="248">
        <f>IF(F7="","",(E7-F7)*Asset_Model!$D$65)</f>
        <v>501.46382619700483</v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-17450.731913098502</v>
      </c>
      <c r="D34" s="143">
        <f>IF(E7="","",D30-E30+D33+IF($C$49="Yes",D51,0))</f>
        <v>81906.310904872385</v>
      </c>
      <c r="E34" s="143">
        <f t="shared" ref="E34:F34" si="11">IF(F7="","",E30-F30+E33+IF($C$49="Yes",E51,0))</f>
        <v>143901.463826197</v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-6.0466846545732852E-2</v>
      </c>
      <c r="D35" s="239">
        <f t="shared" si="19"/>
        <v>0.23509274082914003</v>
      </c>
      <c r="E35" s="239">
        <f t="shared" si="19"/>
        <v>0.48697618892114042</v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229700</v>
      </c>
      <c r="D37" s="165">
        <v>133600</v>
      </c>
      <c r="E37" s="165">
        <v>168700</v>
      </c>
      <c r="F37" s="165">
        <v>201300</v>
      </c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1600</v>
      </c>
      <c r="D38" s="164">
        <v>2300</v>
      </c>
      <c r="E38" s="164">
        <v>1200</v>
      </c>
      <c r="F38" s="164">
        <v>3400</v>
      </c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0.90897578966529746</v>
      </c>
      <c r="D39" s="170">
        <f t="shared" si="20"/>
        <v>0.52868596212139196</v>
      </c>
      <c r="E39" s="170">
        <f t="shared" si="20"/>
        <v>0.66758474408591939</v>
      </c>
      <c r="F39" s="170">
        <f t="shared" si="20"/>
        <v>0.79659045041194765</v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6.3315684086394253E-3</v>
      </c>
      <c r="D40" s="172">
        <f t="shared" si="21"/>
        <v>9.101629587419174E-3</v>
      </c>
      <c r="E40" s="172">
        <f t="shared" si="21"/>
        <v>4.7486763064795686E-3</v>
      </c>
      <c r="F40" s="172">
        <f t="shared" si="21"/>
        <v>1.3454582868358779E-2</v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0.26001767825574545</v>
      </c>
      <c r="D42" s="48">
        <f t="shared" ref="D42:M42" si="22">IF(D29="","",D25/D29)</f>
        <v>0.25796744631377377</v>
      </c>
      <c r="E42" s="48">
        <f t="shared" si="22"/>
        <v>0.24488778054862842</v>
      </c>
      <c r="F42" s="48">
        <f t="shared" si="22"/>
        <v>0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0.29036535061873897</v>
      </c>
      <c r="D43" s="14">
        <f t="shared" si="23"/>
        <v>0.28190398030365205</v>
      </c>
      <c r="E43" s="14">
        <f t="shared" si="23"/>
        <v>0.27464671654197836</v>
      </c>
      <c r="F43" s="14">
        <f t="shared" si="23"/>
        <v>0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1.4642313546423136</v>
      </c>
      <c r="D44" s="50">
        <f t="shared" si="24"/>
        <v>1.690441533236293</v>
      </c>
      <c r="E44" s="50">
        <f t="shared" si="24"/>
        <v>1.7887409200968523</v>
      </c>
      <c r="F44" s="50" t="str">
        <f t="shared" si="24"/>
        <v>-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3.3264033264033266E-2</v>
      </c>
      <c r="D45" s="14">
        <f t="shared" si="25"/>
        <v>2.0952927669345579E-2</v>
      </c>
      <c r="E45" s="14">
        <f t="shared" si="25"/>
        <v>2.5042301184433163E-2</v>
      </c>
      <c r="F45" s="14" t="str">
        <f t="shared" si="25"/>
        <v>-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1.8187898089171974</v>
      </c>
      <c r="D46" s="51">
        <f t="shared" si="26"/>
        <v>2.0655831739961759</v>
      </c>
      <c r="E46" s="51">
        <f t="shared" si="26"/>
        <v>2.0135777325186694</v>
      </c>
      <c r="F46" s="51">
        <f t="shared" si="26"/>
        <v>1.9508919202518362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301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302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4" priority="3">
      <formula>LEN(TRIM(C7))=0</formula>
    </cfRule>
  </conditionalFormatting>
  <conditionalFormatting sqref="D17:M18">
    <cfRule type="containsBlanks" dxfId="13" priority="4">
      <formula>LEN(TRIM(D17))=0</formula>
    </cfRule>
  </conditionalFormatting>
  <conditionalFormatting sqref="C37:M40">
    <cfRule type="containsBlanks" dxfId="12" priority="5">
      <formula>LEN(TRIM(C37))=0</formula>
    </cfRule>
  </conditionalFormatting>
  <conditionalFormatting sqref="B51:M52">
    <cfRule type="expression" dxfId="11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abSelected="1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141</v>
      </c>
    </row>
    <row r="3" spans="1:11" ht="15" customHeight="1" x14ac:dyDescent="0.3">
      <c r="B3" s="5" t="s">
        <v>259</v>
      </c>
      <c r="C3" s="6"/>
      <c r="D3" s="274">
        <v>585200</v>
      </c>
      <c r="E3" s="156" t="str">
        <f>IF((C46-I46)=D3,"", "Error!")</f>
        <v/>
      </c>
      <c r="F3" s="6"/>
      <c r="G3" s="6"/>
      <c r="H3" s="275" t="s">
        <v>260</v>
      </c>
      <c r="I3" s="276">
        <v>585200</v>
      </c>
      <c r="K3" s="74"/>
    </row>
    <row r="4" spans="1:11" ht="15" customHeight="1" x14ac:dyDescent="0.3">
      <c r="B4" s="5" t="s">
        <v>226</v>
      </c>
      <c r="C4" s="6"/>
      <c r="D4" s="277">
        <f>D3-I3</f>
        <v>0</v>
      </c>
      <c r="E4" s="150"/>
      <c r="F4" s="6"/>
      <c r="G4" s="6"/>
      <c r="H4" s="60" t="s">
        <v>82</v>
      </c>
      <c r="I4" s="91">
        <f>(I3*Dashboard!I12*Data!C4)/Dashboard!I5</f>
        <v>18.175806973124981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47790</v>
      </c>
      <c r="E6" s="14">
        <f>1-D6/D3</f>
        <v>0.91833561175666434</v>
      </c>
      <c r="F6" s="6"/>
      <c r="G6" s="6"/>
      <c r="H6" s="3" t="s">
        <v>329</v>
      </c>
      <c r="I6" s="69">
        <f>C26/I26</f>
        <v>1.5455575132141959</v>
      </c>
      <c r="J6" s="6"/>
      <c r="K6" s="74"/>
    </row>
    <row r="7" spans="1:11" ht="15" customHeight="1" x14ac:dyDescent="0.3">
      <c r="B7" s="53" t="s">
        <v>85</v>
      </c>
      <c r="D7" s="61">
        <f>MAX((D6*Dashboard!I12*Data!C4)/Dashboard!I5, 0)</f>
        <v>1.484316157289205</v>
      </c>
      <c r="E7" s="49" t="str">
        <f>Dashboard!J4</f>
        <v>HKD</v>
      </c>
      <c r="H7" s="3" t="s">
        <v>330</v>
      </c>
      <c r="I7" s="69">
        <f>C25/I26</f>
        <v>0.82091618424364465</v>
      </c>
      <c r="J7" s="6"/>
      <c r="K7" s="116"/>
    </row>
    <row r="8" spans="1:11" ht="15" customHeight="1" x14ac:dyDescent="0.3">
      <c r="D8" s="6"/>
      <c r="H8" s="3" t="s">
        <v>331</v>
      </c>
      <c r="I8" s="69">
        <f>C24/I26</f>
        <v>0.13000251698968035</v>
      </c>
      <c r="K8" s="74"/>
    </row>
    <row r="9" spans="1:11" ht="15" customHeight="1" x14ac:dyDescent="0.3">
      <c r="A9" s="4"/>
      <c r="B9" s="268" t="s">
        <v>255</v>
      </c>
      <c r="C9" s="255"/>
      <c r="D9" s="272">
        <v>44834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103300</v>
      </c>
      <c r="D11" s="65">
        <v>1</v>
      </c>
      <c r="E11" s="27">
        <f t="shared" ref="E11:E21" si="0">C11*D11</f>
        <v>103300</v>
      </c>
      <c r="F11" s="6"/>
      <c r="G11" s="6"/>
      <c r="H11" s="5" t="s">
        <v>92</v>
      </c>
      <c r="I11" s="64">
        <v>93200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15200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686200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549000</v>
      </c>
      <c r="D17" s="65">
        <v>0.8</v>
      </c>
      <c r="E17" s="27">
        <f t="shared" si="0"/>
        <v>439200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570000</v>
      </c>
      <c r="D18" s="65">
        <v>0.6</v>
      </c>
      <c r="E18" s="27">
        <f t="shared" si="0"/>
        <v>342000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5800</v>
      </c>
      <c r="D21" s="65">
        <v>0.95</v>
      </c>
      <c r="E21" s="27">
        <f t="shared" si="0"/>
        <v>5510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103300</v>
      </c>
      <c r="D24" s="68">
        <f>IF(E24=0,0,E24/C24)</f>
        <v>1</v>
      </c>
      <c r="E24" s="27">
        <f>SUM(E11:E14)</f>
        <v>103300</v>
      </c>
      <c r="F24" s="6"/>
      <c r="G24" s="6"/>
      <c r="H24" s="66" t="s">
        <v>108</v>
      </c>
      <c r="I24" s="69">
        <f>E24/($I$26-I15)</f>
        <v>0.95295202952029523</v>
      </c>
      <c r="J24" s="13" t="str">
        <f>IF(I24&lt;1,"Liquidity Problem!","")</f>
        <v>Liquidity Problem!</v>
      </c>
    </row>
    <row r="25" spans="2:10" ht="15" customHeight="1" x14ac:dyDescent="0.3">
      <c r="B25" s="66" t="s">
        <v>109</v>
      </c>
      <c r="C25" s="70">
        <f>C24+SUM(C15:C17)</f>
        <v>652300</v>
      </c>
      <c r="D25" s="68">
        <f>IF(E25=0,0,E25/C25)</f>
        <v>0.83167254330829377</v>
      </c>
      <c r="E25" s="27">
        <f>E24+SUM(E15:E17)</f>
        <v>542500</v>
      </c>
      <c r="F25" s="6"/>
      <c r="G25" s="6"/>
      <c r="H25" s="66" t="s">
        <v>110</v>
      </c>
      <c r="I25" s="69">
        <f>E25/$I$26</f>
        <v>0.68273345079285175</v>
      </c>
      <c r="J25" s="13" t="str">
        <f>IF(OR(I25&lt;0.75,C26&lt;I26),"Liquidity Problem!","")</f>
        <v>Liquidity Problem!</v>
      </c>
    </row>
    <row r="26" spans="2:10" ht="15" customHeight="1" x14ac:dyDescent="0.3">
      <c r="B26" s="5" t="s">
        <v>111</v>
      </c>
      <c r="C26" s="70">
        <f>SUM(C11:C22)</f>
        <v>1228100</v>
      </c>
      <c r="D26" s="14">
        <f t="shared" ref="D26" si="2">E26/C26</f>
        <v>0.72470482859701979</v>
      </c>
      <c r="E26" s="27">
        <f>SUM(E11:E22)</f>
        <v>890010</v>
      </c>
      <c r="H26" s="5" t="s">
        <v>58</v>
      </c>
      <c r="I26" s="64">
        <v>794600</v>
      </c>
      <c r="J26" s="107">
        <f>IF(J24="",1,0)+IF(J25="",1,0)+IF(J44="",1,0)+IF(J45="",1,0)</f>
        <v>1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0</v>
      </c>
      <c r="J28" s="6"/>
    </row>
    <row r="29" spans="2:10" ht="15" customHeight="1" x14ac:dyDescent="0.3">
      <c r="B29" s="5" t="s">
        <v>114</v>
      </c>
      <c r="C29" s="64">
        <v>0</v>
      </c>
      <c r="D29" s="65">
        <v>0.6</v>
      </c>
      <c r="E29" s="27">
        <f t="shared" ref="E29:E40" si="3">C29*D29</f>
        <v>0</v>
      </c>
      <c r="F29" s="6"/>
      <c r="G29" s="6"/>
      <c r="H29" s="5" t="s">
        <v>115</v>
      </c>
      <c r="I29" s="64">
        <v>164100</v>
      </c>
      <c r="J29" s="6"/>
    </row>
    <row r="30" spans="2:10" ht="15" customHeight="1" x14ac:dyDescent="0.3">
      <c r="B30" s="5" t="s">
        <v>116</v>
      </c>
      <c r="C30" s="64">
        <v>1400</v>
      </c>
      <c r="D30" s="65">
        <v>0.2</v>
      </c>
      <c r="E30" s="27">
        <f t="shared" si="3"/>
        <v>280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3400</v>
      </c>
      <c r="J32" s="6"/>
    </row>
    <row r="33" spans="2:10" ht="14" x14ac:dyDescent="0.3">
      <c r="B33" s="5" t="s">
        <v>121</v>
      </c>
      <c r="C33" s="64">
        <v>3800</v>
      </c>
      <c r="D33" s="65">
        <v>0.8</v>
      </c>
      <c r="E33" s="220">
        <f t="shared" si="3"/>
        <v>3040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0</v>
      </c>
      <c r="D34" s="65">
        <v>0.7</v>
      </c>
      <c r="E34" s="220">
        <f t="shared" si="3"/>
        <v>0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306</v>
      </c>
      <c r="C36" s="64">
        <f>77700+164100</f>
        <v>241800</v>
      </c>
      <c r="D36" s="65">
        <v>0.4</v>
      </c>
      <c r="E36" s="27">
        <f t="shared" si="3"/>
        <v>96720</v>
      </c>
      <c r="F36" s="6"/>
      <c r="G36" s="6"/>
    </row>
    <row r="37" spans="2:10" ht="14" x14ac:dyDescent="0.3">
      <c r="B37" s="5" t="s">
        <v>307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15700</v>
      </c>
      <c r="D38" s="65">
        <v>0.2</v>
      </c>
      <c r="E38" s="27">
        <f t="shared" si="3"/>
        <v>3140</v>
      </c>
      <c r="F38" s="6"/>
      <c r="G38" s="6"/>
    </row>
    <row r="39" spans="2:10" ht="15" customHeight="1" x14ac:dyDescent="0.3">
      <c r="B39" s="5" t="s">
        <v>124</v>
      </c>
      <c r="C39" s="64">
        <v>13000</v>
      </c>
      <c r="D39" s="65">
        <v>0.95</v>
      </c>
      <c r="E39" s="27">
        <f t="shared" si="3"/>
        <v>12350</v>
      </c>
      <c r="F39" s="6"/>
      <c r="G39" s="6"/>
    </row>
    <row r="40" spans="2:10" ht="15" customHeight="1" x14ac:dyDescent="0.3">
      <c r="B40" s="5" t="s">
        <v>125</v>
      </c>
      <c r="C40" s="64">
        <v>43500</v>
      </c>
      <c r="D40" s="65">
        <v>0.1</v>
      </c>
      <c r="E40" s="27">
        <f t="shared" si="3"/>
        <v>4350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319200</v>
      </c>
      <c r="D42" s="14">
        <f>E42/C42</f>
        <v>0.3755639097744361</v>
      </c>
      <c r="E42" s="27">
        <f>SUM(E28:E40)</f>
        <v>119880</v>
      </c>
      <c r="F42" s="6"/>
      <c r="G42" s="6"/>
      <c r="H42" s="5" t="s">
        <v>127</v>
      </c>
      <c r="I42" s="64">
        <v>167500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103300</v>
      </c>
      <c r="D44" s="68">
        <f>IF(E44=0,0,E44/C44)</f>
        <v>1</v>
      </c>
      <c r="E44" s="27">
        <f>E24+SUM(E28:E29)</f>
        <v>103300</v>
      </c>
      <c r="F44" s="6"/>
      <c r="G44" s="6"/>
      <c r="H44" s="66" t="s">
        <v>129</v>
      </c>
      <c r="I44" s="69">
        <f>E44/(I46-I15-I32)</f>
        <v>0.37908256880733943</v>
      </c>
      <c r="J44" s="13" t="str">
        <f>IF(I44&lt;1,"Liquidity Problem!","")</f>
        <v>Liquidity Problem!</v>
      </c>
    </row>
    <row r="45" spans="2:10" ht="15" customHeight="1" x14ac:dyDescent="0.3">
      <c r="B45" s="66" t="s">
        <v>130</v>
      </c>
      <c r="C45" s="70">
        <f>C44+(C25-C24)+SUM(C30:C33)</f>
        <v>657500</v>
      </c>
      <c r="D45" s="68">
        <f>IF(E45=0,0,E45/C45)</f>
        <v>0.83014448669201524</v>
      </c>
      <c r="E45" s="27">
        <f>E44+(E25-E24)+SUM(E30:E33)</f>
        <v>545820</v>
      </c>
      <c r="F45" s="6"/>
      <c r="G45" s="6"/>
      <c r="H45" s="66" t="s">
        <v>131</v>
      </c>
      <c r="I45" s="69">
        <f>E45/$I$46</f>
        <v>0.56732148425319617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1547300</v>
      </c>
      <c r="D46" s="14">
        <f>E46/C46</f>
        <v>0.65267885994958963</v>
      </c>
      <c r="E46" s="27">
        <f>E26+E42</f>
        <v>1009890</v>
      </c>
      <c r="F46" s="6"/>
      <c r="G46" s="6"/>
      <c r="H46" s="5" t="s">
        <v>133</v>
      </c>
      <c r="I46" s="155">
        <f>I26+I42</f>
        <v>962100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34">
        <f>D53+D54+D55</f>
        <v>272500</v>
      </c>
      <c r="E52" s="435"/>
      <c r="F52" s="53"/>
      <c r="G52" s="53"/>
    </row>
    <row r="53" spans="2:9" ht="14.5" thickTop="1" x14ac:dyDescent="0.3">
      <c r="B53" s="58" t="s">
        <v>236</v>
      </c>
      <c r="C53" s="6"/>
      <c r="D53" s="437">
        <f>SUM(I11:I13)+SUM(I28:I30)</f>
        <v>272500</v>
      </c>
      <c r="E53" s="388"/>
      <c r="F53" s="5"/>
      <c r="G53" s="5"/>
      <c r="H53" s="3" t="s">
        <v>274</v>
      </c>
      <c r="I53" s="14">
        <f>D53/I3</f>
        <v>0.46565276828434721</v>
      </c>
    </row>
    <row r="54" spans="2:9" ht="14" x14ac:dyDescent="0.3">
      <c r="B54" s="58" t="s">
        <v>136</v>
      </c>
      <c r="C54" s="6"/>
      <c r="D54" s="444">
        <v>0</v>
      </c>
      <c r="E54" s="373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4">
        <v>0</v>
      </c>
      <c r="E55" s="373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6"/>
      <c r="E57" s="436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5200</v>
      </c>
      <c r="D58" s="129">
        <f>IF(E58=0,0,E58/C58)</f>
        <v>0.63846153846153841</v>
      </c>
      <c r="E58" s="221">
        <f>E14+E15+(E19*G19)+(E20*G20)+E29+E30+(E33*G33)+(E34*G34)+(E35*G35)</f>
        <v>3320</v>
      </c>
      <c r="H58" s="6"/>
    </row>
    <row r="59" spans="2:9" ht="14" x14ac:dyDescent="0.3">
      <c r="B59" s="53" t="s">
        <v>91</v>
      </c>
      <c r="C59" s="213">
        <f>C11+C12+C28</f>
        <v>103300</v>
      </c>
      <c r="D59" s="214">
        <f>IF(E59=0,0,E59/C59)</f>
        <v>1</v>
      </c>
      <c r="E59" s="215">
        <f>E11+E12+E28</f>
        <v>103300</v>
      </c>
      <c r="F59" s="6"/>
      <c r="G59" s="6"/>
    </row>
    <row r="60" spans="2:9" ht="14" x14ac:dyDescent="0.3">
      <c r="B60" s="53" t="s">
        <v>140</v>
      </c>
      <c r="C60" s="6"/>
      <c r="D60" s="442">
        <f>((Dashboard!I6*Data!C4)+D52+E50-C58-C59)</f>
        <v>11775656.9</v>
      </c>
      <c r="E60" s="443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40">
        <f>((C26-C11-C12-C14-C15-C16*G16-C19*G19-C20*G20)-I26)/Data!C7</f>
        <v>0.13929550727694578</v>
      </c>
      <c r="E63" s="441"/>
    </row>
    <row r="64" spans="2:9" ht="15" customHeight="1" x14ac:dyDescent="0.3">
      <c r="B64" s="3" t="s">
        <v>267</v>
      </c>
      <c r="D64" s="438">
        <v>6.3399999999999998E-2</v>
      </c>
      <c r="E64" s="439"/>
      <c r="F64" s="266" t="s">
        <v>252</v>
      </c>
    </row>
    <row r="65" spans="2:5" ht="15" customHeight="1" x14ac:dyDescent="0.3">
      <c r="B65" s="292" t="s">
        <v>269</v>
      </c>
      <c r="D65" s="438">
        <f>D63</f>
        <v>0.13929550727694578</v>
      </c>
      <c r="E65" s="43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14"/>
  <sheetViews>
    <sheetView showGridLines="0" topLeftCell="A7" zoomScaleNormal="100" zoomScalePageLayoutView="80" workbookViewId="0">
      <selection activeCell="I32" sqref="I32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44651</v>
      </c>
      <c r="D3" s="28" t="s">
        <v>251</v>
      </c>
      <c r="E3" s="278">
        <f>EOMONTH(EDATE(C3,12),0)</f>
        <v>45016</v>
      </c>
      <c r="F3" s="28" t="s">
        <v>251</v>
      </c>
      <c r="G3" s="278">
        <f>IF(G20="","",EOMONTH(EDATE(E3,12),0))</f>
        <v>45382</v>
      </c>
      <c r="H3" s="28"/>
      <c r="I3" s="278">
        <f>IF(I27="","",EOMONTH(EDATE(G3,12),0))</f>
        <v>45747</v>
      </c>
      <c r="J3" s="297"/>
      <c r="L3" s="72" t="s">
        <v>141</v>
      </c>
    </row>
    <row r="4" spans="1:13" ht="15.75" customHeight="1" x14ac:dyDescent="0.3">
      <c r="B4" s="349" t="s">
        <v>314</v>
      </c>
      <c r="C4" s="294">
        <v>555600</v>
      </c>
      <c r="D4" s="260"/>
      <c r="E4" s="294"/>
      <c r="F4" s="260"/>
      <c r="G4" s="222"/>
      <c r="H4" s="260"/>
      <c r="I4" s="222"/>
      <c r="J4" s="350"/>
      <c r="K4" s="6"/>
      <c r="L4" s="74"/>
      <c r="M4" s="57"/>
    </row>
    <row r="5" spans="1:13" ht="15.75" customHeight="1" x14ac:dyDescent="0.3">
      <c r="B5" s="293" t="s">
        <v>315</v>
      </c>
      <c r="C5" s="294">
        <v>375100</v>
      </c>
      <c r="D5" s="260"/>
      <c r="E5" s="294"/>
      <c r="F5" s="260"/>
      <c r="G5" s="222"/>
      <c r="H5" s="260"/>
      <c r="I5" s="222"/>
      <c r="J5" s="351"/>
      <c r="K5" s="6"/>
      <c r="L5" s="74"/>
      <c r="M5" s="57"/>
    </row>
    <row r="6" spans="1:13" ht="15.75" customHeight="1" x14ac:dyDescent="0.3">
      <c r="B6" s="293" t="s">
        <v>316</v>
      </c>
      <c r="C6" s="294">
        <v>83900</v>
      </c>
      <c r="D6" s="260"/>
      <c r="E6" s="294"/>
      <c r="F6" s="260"/>
      <c r="G6" s="222"/>
      <c r="H6" s="260"/>
      <c r="I6" s="222"/>
      <c r="J6" s="351"/>
      <c r="K6" s="6"/>
      <c r="L6" s="74"/>
      <c r="M6" s="57"/>
    </row>
    <row r="7" spans="1:13" ht="15.75" customHeight="1" x14ac:dyDescent="0.3">
      <c r="B7" s="293" t="s">
        <v>317</v>
      </c>
      <c r="C7" s="294">
        <v>10900</v>
      </c>
      <c r="D7" s="260"/>
      <c r="E7" s="294"/>
      <c r="F7" s="260"/>
      <c r="G7" s="222"/>
      <c r="H7" s="260"/>
      <c r="I7" s="222"/>
      <c r="J7" s="351"/>
      <c r="K7" s="6"/>
      <c r="L7" s="74"/>
      <c r="M7" s="57"/>
    </row>
    <row r="8" spans="1:13" ht="15.75" customHeight="1" x14ac:dyDescent="0.3">
      <c r="B8" s="23" t="s">
        <v>318</v>
      </c>
      <c r="C8" s="352">
        <f>SUM(C4:C7)</f>
        <v>1025500</v>
      </c>
      <c r="D8" s="260">
        <f>C8/C19</f>
        <v>0.4326091541868804</v>
      </c>
      <c r="E8" s="352">
        <f>C8*0.8</f>
        <v>820400</v>
      </c>
      <c r="F8" s="260">
        <f>E8/E19</f>
        <v>0.39607191669551273</v>
      </c>
      <c r="G8" s="352"/>
      <c r="H8" s="260"/>
      <c r="I8" s="222"/>
      <c r="J8" s="351"/>
      <c r="K8" s="6"/>
      <c r="L8" s="74"/>
      <c r="M8" s="57"/>
    </row>
    <row r="9" spans="1:13" ht="15.75" customHeight="1" x14ac:dyDescent="0.3">
      <c r="B9" s="349" t="s">
        <v>314</v>
      </c>
      <c r="C9" s="294">
        <v>274900</v>
      </c>
      <c r="D9" s="260"/>
      <c r="E9" s="294"/>
      <c r="F9" s="260"/>
      <c r="G9" s="222"/>
      <c r="H9" s="260"/>
      <c r="I9" s="222"/>
      <c r="J9" s="351"/>
      <c r="K9" s="6"/>
      <c r="L9" s="74"/>
      <c r="M9" s="57"/>
    </row>
    <row r="10" spans="1:13" ht="15.75" customHeight="1" x14ac:dyDescent="0.3">
      <c r="B10" s="293" t="s">
        <v>315</v>
      </c>
      <c r="C10" s="294">
        <v>93800</v>
      </c>
      <c r="D10" s="260"/>
      <c r="E10" s="294"/>
      <c r="F10" s="260"/>
      <c r="G10" s="222"/>
      <c r="H10" s="260"/>
      <c r="I10" s="222"/>
      <c r="J10" s="351"/>
      <c r="K10" s="6"/>
      <c r="L10" s="74"/>
      <c r="M10" s="57"/>
    </row>
    <row r="11" spans="1:13" ht="15.75" customHeight="1" x14ac:dyDescent="0.3">
      <c r="B11" s="293" t="s">
        <v>316</v>
      </c>
      <c r="C11" s="294">
        <v>27700</v>
      </c>
      <c r="D11" s="260"/>
      <c r="E11" s="294"/>
      <c r="F11" s="260"/>
      <c r="G11" s="222"/>
      <c r="H11" s="260"/>
      <c r="I11" s="222"/>
      <c r="J11" s="351"/>
      <c r="K11" s="6"/>
      <c r="L11" s="74"/>
      <c r="M11" s="57"/>
    </row>
    <row r="12" spans="1:13" ht="15.75" customHeight="1" x14ac:dyDescent="0.3">
      <c r="B12" s="293" t="s">
        <v>317</v>
      </c>
      <c r="C12" s="294">
        <v>10900</v>
      </c>
      <c r="D12" s="260"/>
      <c r="E12" s="294"/>
      <c r="F12" s="260"/>
      <c r="G12" s="222"/>
      <c r="H12" s="260"/>
      <c r="I12" s="222"/>
      <c r="J12" s="287"/>
      <c r="K12" s="6"/>
      <c r="L12" s="74"/>
      <c r="M12" s="57"/>
    </row>
    <row r="13" spans="1:13" ht="15.75" customHeight="1" x14ac:dyDescent="0.3">
      <c r="B13" s="23" t="s">
        <v>319</v>
      </c>
      <c r="C13" s="352">
        <f>SUM(C9:C12)</f>
        <v>407300</v>
      </c>
      <c r="D13" s="260">
        <f>C13/C19</f>
        <v>0.17182029107783167</v>
      </c>
      <c r="E13" s="352">
        <f>C13*0.7</f>
        <v>285110</v>
      </c>
      <c r="F13" s="260">
        <f>E13/E19</f>
        <v>0.13764512941133306</v>
      </c>
      <c r="G13" s="352"/>
      <c r="H13" s="260"/>
      <c r="I13" s="222"/>
      <c r="J13" s="287"/>
      <c r="K13" s="6"/>
      <c r="L13" s="74"/>
      <c r="M13" s="57"/>
    </row>
    <row r="14" spans="1:13" ht="15.75" customHeight="1" x14ac:dyDescent="0.3">
      <c r="B14" s="349" t="s">
        <v>314</v>
      </c>
      <c r="C14" s="294">
        <v>238000</v>
      </c>
      <c r="D14" s="260"/>
      <c r="E14" s="294"/>
      <c r="F14" s="260"/>
      <c r="G14" s="222"/>
      <c r="H14" s="260"/>
      <c r="I14" s="222"/>
      <c r="J14" s="287"/>
      <c r="K14" s="6"/>
      <c r="L14" s="74"/>
      <c r="M14" s="57"/>
    </row>
    <row r="15" spans="1:13" ht="15.75" customHeight="1" x14ac:dyDescent="0.3">
      <c r="B15" s="293" t="s">
        <v>315</v>
      </c>
      <c r="C15" s="294">
        <v>556200</v>
      </c>
      <c r="D15" s="260"/>
      <c r="E15" s="294"/>
      <c r="F15" s="260"/>
      <c r="G15" s="222"/>
      <c r="H15" s="260"/>
      <c r="I15" s="222"/>
      <c r="J15" s="287"/>
      <c r="K15" s="6"/>
      <c r="L15" s="74"/>
      <c r="M15" s="57"/>
    </row>
    <row r="16" spans="1:13" ht="15.75" customHeight="1" x14ac:dyDescent="0.3">
      <c r="B16" s="293" t="s">
        <v>316</v>
      </c>
      <c r="C16" s="294">
        <v>143400</v>
      </c>
      <c r="D16" s="260"/>
      <c r="E16" s="294"/>
      <c r="F16" s="260"/>
      <c r="G16" s="222"/>
      <c r="H16" s="260"/>
      <c r="I16" s="222"/>
      <c r="J16" s="287"/>
      <c r="K16" s="6"/>
      <c r="L16" s="74"/>
      <c r="M16" s="57"/>
    </row>
    <row r="17" spans="2:13" ht="15.75" customHeight="1" x14ac:dyDescent="0.3">
      <c r="B17" s="293" t="s">
        <v>317</v>
      </c>
      <c r="C17" s="294">
        <v>100</v>
      </c>
      <c r="D17" s="260"/>
      <c r="E17" s="294"/>
      <c r="F17" s="260"/>
      <c r="G17" s="222"/>
      <c r="H17" s="260"/>
      <c r="I17" s="222"/>
      <c r="J17" s="287"/>
      <c r="K17" s="6"/>
      <c r="L17" s="74"/>
      <c r="M17" s="57"/>
    </row>
    <row r="18" spans="2:13" ht="15.75" customHeight="1" x14ac:dyDescent="0.3">
      <c r="B18" s="23" t="s">
        <v>320</v>
      </c>
      <c r="C18" s="352">
        <f>SUM(C14:C17)</f>
        <v>937700</v>
      </c>
      <c r="D18" s="260">
        <f>C18/C19</f>
        <v>0.3955705547352879</v>
      </c>
      <c r="E18" s="352">
        <f>C18*1.03</f>
        <v>965831</v>
      </c>
      <c r="F18" s="260">
        <f>E18/E19</f>
        <v>0.46628295389315422</v>
      </c>
      <c r="G18" s="352"/>
      <c r="H18" s="260"/>
      <c r="I18" s="222"/>
      <c r="J18" s="287"/>
      <c r="K18" s="6"/>
      <c r="L18" s="74"/>
      <c r="M18" s="57"/>
    </row>
    <row r="19" spans="2:13" ht="15.75" customHeight="1" x14ac:dyDescent="0.3">
      <c r="B19" s="5" t="s">
        <v>143</v>
      </c>
      <c r="C19" s="180">
        <f>C8+C13+C18</f>
        <v>2370500</v>
      </c>
      <c r="D19" s="259"/>
      <c r="E19" s="180">
        <f>E8+E13+E18</f>
        <v>2071341</v>
      </c>
      <c r="F19" s="259"/>
      <c r="G19" s="180">
        <f>E19*1.05</f>
        <v>2174908.0500000003</v>
      </c>
      <c r="H19" s="259"/>
      <c r="I19" s="228">
        <f>C19*1.05</f>
        <v>2489025</v>
      </c>
      <c r="J19" s="288"/>
      <c r="K19" s="6"/>
      <c r="L19" s="74" t="s">
        <v>271</v>
      </c>
      <c r="M19" s="57"/>
    </row>
    <row r="20" spans="2:13" ht="15.75" customHeight="1" x14ac:dyDescent="0.3">
      <c r="B20" s="17" t="s">
        <v>142</v>
      </c>
      <c r="C20" s="187"/>
      <c r="D20" s="261"/>
      <c r="E20" s="18">
        <f>E19/C19-1</f>
        <v>-0.12620080151866697</v>
      </c>
      <c r="F20" s="261"/>
      <c r="G20" s="73">
        <f>G19/E19-1</f>
        <v>5.0000000000000044E-2</v>
      </c>
      <c r="H20" s="261"/>
      <c r="I20" s="73">
        <f>I19/G19-1</f>
        <v>0.14442769201208283</v>
      </c>
      <c r="J20" s="328"/>
      <c r="K20" s="6"/>
      <c r="L20" s="74"/>
      <c r="M20" s="57"/>
    </row>
    <row r="21" spans="2:13" ht="15.75" customHeight="1" x14ac:dyDescent="0.3">
      <c r="B21" s="8" t="s">
        <v>144</v>
      </c>
      <c r="C21" s="181">
        <f>Data!C9</f>
        <v>1701400</v>
      </c>
      <c r="D21" s="262"/>
      <c r="E21" s="227">
        <f>E19*(1-E22)</f>
        <v>1418868.5850000002</v>
      </c>
      <c r="F21" s="262"/>
      <c r="G21" s="282">
        <f>IF(G19="","",G19*(1-G22))</f>
        <v>1489812.0142500002</v>
      </c>
      <c r="H21" s="262"/>
      <c r="I21" s="282">
        <f>IF(I19="","",I19*(1-I22))</f>
        <v>1749037.8674999999</v>
      </c>
      <c r="J21" s="329"/>
      <c r="K21" s="6"/>
      <c r="L21" s="116"/>
      <c r="M21" s="1"/>
    </row>
    <row r="22" spans="2:13" ht="15.75" customHeight="1" x14ac:dyDescent="0.3">
      <c r="B22" s="17" t="s">
        <v>48</v>
      </c>
      <c r="C22" s="186">
        <f>(C19-C21)/C19</f>
        <v>0.282261126344653</v>
      </c>
      <c r="D22" s="186"/>
      <c r="E22" s="73">
        <v>0.315</v>
      </c>
      <c r="F22" s="186"/>
      <c r="G22" s="73">
        <f>E22</f>
        <v>0.315</v>
      </c>
      <c r="H22" s="186"/>
      <c r="I22" s="73">
        <v>0.29730000000000001</v>
      </c>
      <c r="J22" s="330"/>
      <c r="K22" s="6"/>
      <c r="L22" s="74"/>
    </row>
    <row r="23" spans="2:13" ht="15.75" customHeight="1" x14ac:dyDescent="0.3">
      <c r="B23" s="5" t="s">
        <v>145</v>
      </c>
      <c r="C23" s="27">
        <f>C19-C21</f>
        <v>669100</v>
      </c>
      <c r="D23" s="27"/>
      <c r="E23" s="27">
        <f>E19-E21</f>
        <v>652472.4149999998</v>
      </c>
      <c r="F23" s="27"/>
      <c r="G23" s="27">
        <f>IF(G20="","",G19-G21)</f>
        <v>685096.03575000004</v>
      </c>
      <c r="H23" s="27"/>
      <c r="I23" s="27">
        <f>IF(I20="","",I19-I21)</f>
        <v>739987.13250000007</v>
      </c>
      <c r="J23" s="242"/>
      <c r="K23" s="6"/>
      <c r="L23" s="74"/>
    </row>
    <row r="24" spans="2:13" ht="15.75" customHeight="1" x14ac:dyDescent="0.3">
      <c r="B24" s="17" t="s">
        <v>50</v>
      </c>
      <c r="C24" s="189">
        <f>C25/C19</f>
        <v>0.19607677705125501</v>
      </c>
      <c r="D24" s="189"/>
      <c r="E24" s="226">
        <f>E25/E19</f>
        <v>0.23337152115465296</v>
      </c>
      <c r="F24" s="189"/>
      <c r="G24" s="65">
        <f>G25/G19</f>
        <v>0.22892634932313571</v>
      </c>
      <c r="H24" s="189"/>
      <c r="I24" s="65">
        <f>I25/I19</f>
        <v>0.2060367303663081</v>
      </c>
      <c r="J24" s="331"/>
      <c r="K24" s="6"/>
      <c r="L24" s="74"/>
    </row>
    <row r="25" spans="2:13" ht="15.75" customHeight="1" x14ac:dyDescent="0.3">
      <c r="B25" s="8" t="s">
        <v>146</v>
      </c>
      <c r="C25" s="183">
        <f>304900+75600+84300</f>
        <v>464800</v>
      </c>
      <c r="D25" s="263"/>
      <c r="E25" s="76">
        <f>C25*1.04</f>
        <v>483392</v>
      </c>
      <c r="F25" s="263"/>
      <c r="G25" s="76">
        <f>E25*1.03</f>
        <v>497893.76</v>
      </c>
      <c r="H25" s="263"/>
      <c r="I25" s="76">
        <f>G25*1.03</f>
        <v>512830.57280000002</v>
      </c>
      <c r="J25" s="332"/>
      <c r="K25" s="6"/>
      <c r="L25" s="74"/>
    </row>
    <row r="26" spans="2:13" ht="15.75" customHeight="1" x14ac:dyDescent="0.3">
      <c r="B26" s="17" t="s">
        <v>51</v>
      </c>
      <c r="C26" s="18">
        <f>C28/C19</f>
        <v>8.6184349293398022E-2</v>
      </c>
      <c r="D26" s="18"/>
      <c r="E26" s="18">
        <f>E28/E19</f>
        <v>8.162847884534695E-2</v>
      </c>
      <c r="F26" s="18"/>
      <c r="G26" s="18">
        <f>IF(G20="","",G28/G19)</f>
        <v>8.6073650676864247E-2</v>
      </c>
      <c r="H26" s="18"/>
      <c r="I26" s="18">
        <f>IF(I20="","",I28/I19)</f>
        <v>9.1263269633691926E-2</v>
      </c>
      <c r="J26" s="231"/>
      <c r="K26" s="6"/>
      <c r="L26" s="74"/>
      <c r="M26" s="57"/>
    </row>
    <row r="27" spans="2:13" ht="15.75" customHeight="1" x14ac:dyDescent="0.3">
      <c r="B27" s="17" t="s">
        <v>147</v>
      </c>
      <c r="C27" s="188"/>
      <c r="D27" s="264"/>
      <c r="E27" s="14">
        <f>IF(ABS(C28+E28)=ABS(C28)+ABS(E28),IF(E28&lt;0,-1,1)*(E28-C28)/C28,"Turn")</f>
        <v>-0.17239150758688299</v>
      </c>
      <c r="F27" s="264"/>
      <c r="G27" s="14">
        <f>IF(G20="","",IF(ABS(E28+G28)=ABS(E28)+ABS(G28),IF(G28&lt;0,-1,1)*(G28-E28)/E28,"Turn"))</f>
        <v>0.10717894647940299</v>
      </c>
      <c r="H27" s="264"/>
      <c r="I27" s="14">
        <f>IF(I20="","",IF(ABS(G28+I28)=ABS(G28)+ABS(I28),IF(I28&lt;0,-1,1)*(I28-G28)/G28,"Turn"))</f>
        <v>0.21342840940329758</v>
      </c>
      <c r="J27" s="333"/>
      <c r="K27" s="6"/>
      <c r="L27" s="77"/>
      <c r="M27" s="78"/>
    </row>
    <row r="28" spans="2:13" ht="15.75" customHeight="1" x14ac:dyDescent="0.3">
      <c r="B28" s="134" t="s">
        <v>247</v>
      </c>
      <c r="C28" s="320">
        <f>C23-C25</f>
        <v>204300</v>
      </c>
      <c r="D28" s="321"/>
      <c r="E28" s="320">
        <f>E23-E25</f>
        <v>169080.4149999998</v>
      </c>
      <c r="F28" s="321"/>
      <c r="G28" s="320">
        <f>IF(G20="","",G23-G25)</f>
        <v>187202.27575000003</v>
      </c>
      <c r="H28" s="321"/>
      <c r="I28" s="320">
        <f>IF(I20="","",I23-I25)</f>
        <v>227156.55970000004</v>
      </c>
      <c r="J28" s="334"/>
      <c r="K28" s="6"/>
      <c r="L28" s="79"/>
      <c r="M28" s="56"/>
    </row>
    <row r="29" spans="2:13" ht="15.75" customHeight="1" x14ac:dyDescent="0.3">
      <c r="B29" s="316" t="s">
        <v>148</v>
      </c>
      <c r="C29" s="317">
        <v>0.25</v>
      </c>
      <c r="D29" s="318"/>
      <c r="E29" s="319">
        <f>IF(E28="","",C29)</f>
        <v>0.25</v>
      </c>
      <c r="F29" s="319"/>
      <c r="G29" s="319">
        <f>IF(G28="","",E29)</f>
        <v>0.25</v>
      </c>
      <c r="H29" s="319"/>
      <c r="I29" s="319">
        <f>IF(I28="","",G29)</f>
        <v>0.25</v>
      </c>
      <c r="J29" s="335"/>
    </row>
    <row r="30" spans="2:13" ht="15.75" customHeight="1" x14ac:dyDescent="0.3">
      <c r="B30" s="325" t="s">
        <v>309</v>
      </c>
      <c r="C30" s="264">
        <f>C31/C21</f>
        <v>9.0058187375102863E-2</v>
      </c>
      <c r="D30" s="327"/>
      <c r="E30" s="326">
        <f>E31/E21</f>
        <v>8.9374246910963809E-2</v>
      </c>
      <c r="F30" s="326"/>
      <c r="G30" s="326">
        <f>IF(G21="","",G31/G21)</f>
        <v>9.4241223368829466E-2</v>
      </c>
      <c r="H30" s="326"/>
      <c r="I30" s="326">
        <f>IF(I21="","",I31/I21)</f>
        <v>9.7406364345053287E-2</v>
      </c>
      <c r="J30" s="336"/>
    </row>
    <row r="31" spans="2:13" ht="15.75" customHeight="1" x14ac:dyDescent="0.3">
      <c r="B31" s="322" t="s">
        <v>80</v>
      </c>
      <c r="C31" s="323">
        <f>IF(C28&lt;=0,C28,C28*(1-C29))</f>
        <v>153225</v>
      </c>
      <c r="D31" s="323"/>
      <c r="E31" s="324">
        <f>IF(E28="","",IF(E28&lt;=0,E28,E28*(1-E29)))</f>
        <v>126810.31124999985</v>
      </c>
      <c r="F31" s="323"/>
      <c r="G31" s="324">
        <f>IF(G28="","",IF(G28&lt;=0,G28,G28*(1-G29)))</f>
        <v>140401.70681250002</v>
      </c>
      <c r="H31" s="323"/>
      <c r="I31" s="324">
        <f>IF(I28="","",IF(I28&lt;=0,I28,I28*(1-I29)))</f>
        <v>170367.41977500002</v>
      </c>
      <c r="J31" s="337"/>
    </row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</sheetData>
  <conditionalFormatting sqref="G26:I28 G20:I20">
    <cfRule type="containsBlanks" dxfId="10" priority="14">
      <formula>LEN(TRIM(G20))=0</formula>
    </cfRule>
    <cfRule type="containsBlanks" priority="15">
      <formula>LEN(TRIM(G20))=0</formula>
    </cfRule>
  </conditionalFormatting>
  <conditionalFormatting sqref="I20">
    <cfRule type="containsBlanks" dxfId="9" priority="12">
      <formula>LEN(TRIM(I20))=0</formula>
    </cfRule>
    <cfRule type="containsBlanks" priority="13">
      <formula>LEN(TRIM(I20))=0</formula>
    </cfRule>
  </conditionalFormatting>
  <conditionalFormatting sqref="J20:J28">
    <cfRule type="containsBlanks" dxfId="8" priority="10">
      <formula>LEN(TRIM(J20))=0</formula>
    </cfRule>
    <cfRule type="containsBlanks" priority="11">
      <formula>LEN(TRIM(J20))=0</formula>
    </cfRule>
  </conditionalFormatting>
  <conditionalFormatting sqref="E29 G31 I31 E31">
    <cfRule type="containsBlanks" dxfId="7" priority="8">
      <formula>LEN(TRIM(E29))=0</formula>
    </cfRule>
  </conditionalFormatting>
  <conditionalFormatting sqref="G20:J20 G31:J31 J30 G26:J29 J21:J25">
    <cfRule type="containsBlanks" dxfId="6" priority="7">
      <formula>LEN(TRIM(G20))=0</formula>
    </cfRule>
  </conditionalFormatting>
  <conditionalFormatting sqref="E30">
    <cfRule type="containsBlanks" dxfId="5" priority="6">
      <formula>LEN(TRIM(E30))=0</formula>
    </cfRule>
  </conditionalFormatting>
  <conditionalFormatting sqref="G30:I30">
    <cfRule type="containsBlanks" dxfId="4" priority="5">
      <formula>LEN(TRIM(G30))=0</formula>
    </cfRule>
  </conditionalFormatting>
  <conditionalFormatting sqref="G21:H24 I23 I21 H25:I25">
    <cfRule type="containsBlanks" dxfId="3" priority="3">
      <formula>LEN(TRIM(G21))=0</formula>
    </cfRule>
    <cfRule type="containsBlanks" priority="4">
      <formula>LEN(TRIM(G21))=0</formula>
    </cfRule>
  </conditionalFormatting>
  <conditionalFormatting sqref="I24 I22">
    <cfRule type="containsBlanks" dxfId="2" priority="1">
      <formula>LEN(TRIM(I22))=0</formula>
    </cfRule>
    <cfRule type="containsBlanks" priority="2">
      <formula>LEN(TRIM(I22))=0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22" zoomScaleNormal="100" zoomScalePageLayoutView="80" workbookViewId="0">
      <selection activeCell="C29" sqref="C2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3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44651</v>
      </c>
      <c r="D3" s="278">
        <f>Operation!E3</f>
        <v>45016</v>
      </c>
      <c r="E3" s="278">
        <f>Operation!G3</f>
        <v>45382</v>
      </c>
      <c r="F3" s="278">
        <f>Operation!I3</f>
        <v>45747</v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Operation!C31</f>
        <v>153225</v>
      </c>
      <c r="D4" s="45">
        <f>Operation!E31</f>
        <v>126810.31124999985</v>
      </c>
      <c r="E4" s="45">
        <f>Operation!G31</f>
        <v>140401.70681250002</v>
      </c>
      <c r="F4" s="201">
        <f>Operation!I31</f>
        <v>170367.41977500002</v>
      </c>
      <c r="G4" s="304">
        <f>IF(F3="",IF(E3="",1,2),3)</f>
        <v>3</v>
      </c>
      <c r="H4" s="6"/>
      <c r="I4" s="353"/>
      <c r="J4" s="56"/>
    </row>
    <row r="5" spans="1:10" ht="15.75" customHeight="1" x14ac:dyDescent="0.3">
      <c r="B5" s="17" t="s">
        <v>279</v>
      </c>
      <c r="C5" s="257"/>
      <c r="D5" s="258">
        <f>D4/C4-1</f>
        <v>-0.17239150758688304</v>
      </c>
      <c r="E5" s="258">
        <f>IF(E4="","",E4/D4-1)</f>
        <v>0.10717894647940307</v>
      </c>
      <c r="F5" s="258">
        <f>IF(F4="","",F4/E4-1)</f>
        <v>0.21342840940329744</v>
      </c>
      <c r="G5" s="198"/>
      <c r="H5" s="6"/>
      <c r="I5" s="353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>
        <v>0.38619999999999999</v>
      </c>
      <c r="F6" s="309">
        <v>0.38619999999999999</v>
      </c>
      <c r="G6" s="199"/>
      <c r="H6" s="6"/>
      <c r="I6" s="354"/>
    </row>
    <row r="7" spans="1:10" ht="15" customHeight="1" thickBot="1" x14ac:dyDescent="0.35">
      <c r="B7" s="81" t="s">
        <v>272</v>
      </c>
      <c r="C7" s="310">
        <f>C4*C6</f>
        <v>59175.494999999995</v>
      </c>
      <c r="D7" s="310">
        <f>D4*D6</f>
        <v>48974.142204749944</v>
      </c>
      <c r="E7" s="311">
        <f>E4*E6</f>
        <v>54223.13917098751</v>
      </c>
      <c r="F7" s="311">
        <f>F4*F6</f>
        <v>65795.897517105012</v>
      </c>
      <c r="G7" s="200"/>
      <c r="H7" s="82"/>
      <c r="I7" s="353"/>
      <c r="J7" s="56"/>
    </row>
    <row r="8" spans="1:10" ht="15.75" customHeight="1" thickTop="1" x14ac:dyDescent="0.3">
      <c r="B8" s="17" t="s">
        <v>149</v>
      </c>
      <c r="C8" s="192">
        <f>IF(C4="","",C4-C7)</f>
        <v>94049.505000000005</v>
      </c>
      <c r="D8" s="191">
        <f>D4-D7</f>
        <v>77836.169045249902</v>
      </c>
      <c r="E8" s="191">
        <f>IF(E4="","",E4-E7)</f>
        <v>86178.56764151252</v>
      </c>
      <c r="F8" s="191">
        <f>IF(F4="","",F4-F7)</f>
        <v>104571.52225789501</v>
      </c>
      <c r="G8" s="229">
        <f>IF(F4="",IF(E4="",D8,E8),F8)</f>
        <v>104571.52225789501</v>
      </c>
      <c r="H8" s="82"/>
      <c r="I8" s="353"/>
      <c r="J8" s="56"/>
    </row>
    <row r="9" spans="1:10" ht="15.75" customHeight="1" x14ac:dyDescent="0.3">
      <c r="B9" s="203" t="s">
        <v>218</v>
      </c>
      <c r="C9" s="193">
        <f>C8/(Common_Shares/Data!$C$4)</f>
        <v>0.37217554669135983</v>
      </c>
      <c r="D9" s="306">
        <f>D8/(Common_Shares/Data!$C$4)</f>
        <v>0.30801564311026386</v>
      </c>
      <c r="E9" s="306">
        <f>IF(E8="","",E8/(Common_Shares/Data!$C$4))</f>
        <v>0.34102843523799781</v>
      </c>
      <c r="F9" s="306">
        <f>IF(F8="","",F8/(Common_Shares/Data!$C$4))</f>
        <v>0.41381359173213905</v>
      </c>
      <c r="G9" s="307">
        <f>G8*Data!C$4/Dashboard!I5</f>
        <v>0.41381359173213905</v>
      </c>
      <c r="H9" s="82"/>
      <c r="I9" s="353"/>
      <c r="J9" s="56"/>
    </row>
    <row r="10" spans="1:10" ht="15.75" customHeight="1" x14ac:dyDescent="0.3">
      <c r="B10" s="234" t="s">
        <v>248</v>
      </c>
      <c r="C10" s="312">
        <f>C11/C9</f>
        <v>1.8270947837524503</v>
      </c>
      <c r="D10" s="312">
        <f>D11/D9</f>
        <v>1.5258965267285101</v>
      </c>
      <c r="E10" s="343"/>
      <c r="F10" s="343"/>
      <c r="G10" s="235"/>
      <c r="H10" s="82"/>
      <c r="I10" s="353"/>
      <c r="J10" s="56"/>
    </row>
    <row r="11" spans="1:10" ht="15.75" customHeight="1" x14ac:dyDescent="0.3">
      <c r="B11" s="234" t="s">
        <v>262</v>
      </c>
      <c r="C11" s="284">
        <f>0.51+0.17</f>
        <v>0.68</v>
      </c>
      <c r="D11" s="285">
        <f>0.17+0.3</f>
        <v>0.47</v>
      </c>
      <c r="E11" s="344"/>
      <c r="F11" s="344"/>
      <c r="G11" s="283"/>
      <c r="H11" s="82"/>
      <c r="I11" s="353" t="s">
        <v>323</v>
      </c>
      <c r="J11" s="56"/>
    </row>
    <row r="12" spans="1:10" ht="15.75" customHeight="1" x14ac:dyDescent="0.3">
      <c r="B12" s="19" t="s">
        <v>280</v>
      </c>
      <c r="C12" s="236">
        <v>0</v>
      </c>
      <c r="D12" s="236">
        <f>0.36</f>
        <v>0.36</v>
      </c>
      <c r="E12" s="345"/>
      <c r="F12" s="345"/>
      <c r="G12" s="230">
        <f>G9*D26</f>
        <v>6.6210174677142248</v>
      </c>
      <c r="H12" s="82"/>
      <c r="I12" s="353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9.6000000000000002E-2</v>
      </c>
      <c r="E13" s="18">
        <f ca="1">IF(E4="","",D13)</f>
        <v>9.6000000000000002E-2</v>
      </c>
      <c r="F13" s="18">
        <f ca="1">IF(F4="","",D13)</f>
        <v>9.6000000000000002E-2</v>
      </c>
      <c r="G13" s="231">
        <f ca="1">Dashboard!C12</f>
        <v>9.6000000000000002E-2</v>
      </c>
      <c r="H13" s="62"/>
      <c r="I13" s="354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1.0960000000000001</v>
      </c>
      <c r="E14" s="225">
        <f ca="1">IF(E4="","",(1+D13)*(1+E13))</f>
        <v>1.2012160000000003</v>
      </c>
      <c r="F14" s="225">
        <f ca="1">IF(F4="","",(1+D13)*(1+E13)*(1+F13))</f>
        <v>1.3165327360000003</v>
      </c>
      <c r="G14" s="232">
        <f ca="1">IF(F4="",IF(E4="",D14,E14),F14)*(1+G13)</f>
        <v>1.4429198786560005</v>
      </c>
      <c r="H14" s="62"/>
      <c r="I14" s="354"/>
      <c r="J14" s="57"/>
    </row>
    <row r="15" spans="1:10" ht="15.75" customHeight="1" thickTop="1" x14ac:dyDescent="0.3">
      <c r="B15" s="8" t="s">
        <v>305</v>
      </c>
      <c r="C15" s="237">
        <f>C12</f>
        <v>0</v>
      </c>
      <c r="D15" s="195">
        <f ca="1">IF(D12="","",MAX(D9-D11+D12,D12)/D14)</f>
        <v>0.32846715328467152</v>
      </c>
      <c r="E15" s="196">
        <f ca="1">IF(E9="","",E9/E14)</f>
        <v>0.28390267465468139</v>
      </c>
      <c r="F15" s="196">
        <f ca="1">IF(F9="","",F9/F14)</f>
        <v>0.31432077639741951</v>
      </c>
      <c r="G15" s="233">
        <f ca="1">IF(G12=0,0,G12/G14)</f>
        <v>4.5886244729550292</v>
      </c>
      <c r="H15" s="80"/>
      <c r="I15" s="353"/>
      <c r="J15" s="56"/>
    </row>
    <row r="16" spans="1:10" ht="15.75" customHeight="1" x14ac:dyDescent="0.3">
      <c r="F16" s="6"/>
      <c r="G16" s="115"/>
      <c r="I16" s="74"/>
    </row>
    <row r="17" spans="1:9" ht="15.75" customHeight="1" x14ac:dyDescent="0.3">
      <c r="B17" s="26" t="s">
        <v>221</v>
      </c>
      <c r="C17" s="194" t="str">
        <f>B3</f>
        <v>(Numbers in 1000USD)</v>
      </c>
      <c r="E17" s="72" t="s">
        <v>222</v>
      </c>
      <c r="I17" s="74"/>
    </row>
    <row r="18" spans="1:9" ht="15.75" customHeight="1" x14ac:dyDescent="0.3">
      <c r="B18" s="58" t="s">
        <v>241</v>
      </c>
      <c r="C18" s="84">
        <f>Asset_Model!E59</f>
        <v>103300</v>
      </c>
      <c r="D18" s="219">
        <f>C18/(Dashboard!I5/Data!C4)</f>
        <v>0.40878188538278287</v>
      </c>
      <c r="E18" s="85" t="s">
        <v>238</v>
      </c>
      <c r="G18" s="137">
        <f>C18+C19+C20+C21</f>
        <v>-165880</v>
      </c>
      <c r="I18" s="74"/>
    </row>
    <row r="19" spans="1:9" ht="15.75" customHeight="1" x14ac:dyDescent="0.3">
      <c r="B19" s="58" t="s">
        <v>245</v>
      </c>
      <c r="C19" s="84">
        <f>Asset_Model!E58</f>
        <v>3320</v>
      </c>
      <c r="D19" s="219">
        <f>C19/(Dashboard!I5/Data!C4)</f>
        <v>1.3138004447926807E-2</v>
      </c>
      <c r="E19" s="85" t="s">
        <v>239</v>
      </c>
      <c r="G19" s="197">
        <f>G18*Data!C$4/Dashboard!I5</f>
        <v>-0.65642535476569241</v>
      </c>
      <c r="I19" s="74"/>
    </row>
    <row r="20" spans="1:9" ht="15.75" customHeight="1" x14ac:dyDescent="0.3">
      <c r="B20" s="58" t="s">
        <v>223</v>
      </c>
      <c r="C20" s="84">
        <f>-Asset_Model!D52</f>
        <v>-272500</v>
      </c>
      <c r="D20" s="219">
        <f>C20/(Dashboard!I5/Data!C4)</f>
        <v>-1.0783452445964021</v>
      </c>
      <c r="E20" s="447" t="str">
        <f>IF(F21+G21=G19,"⇒","Error!")</f>
        <v>⇒</v>
      </c>
      <c r="F20" s="146" t="s">
        <v>246</v>
      </c>
      <c r="G20" s="87" t="s">
        <v>23</v>
      </c>
      <c r="I20" s="74"/>
    </row>
    <row r="21" spans="1:9" ht="15.75" customHeight="1" x14ac:dyDescent="0.3">
      <c r="B21" s="85" t="s">
        <v>240</v>
      </c>
      <c r="C21" s="84">
        <f>-Asset_Model!E50</f>
        <v>0</v>
      </c>
      <c r="D21" s="219">
        <f>C21/(Dashboard!I5/Data!C4)</f>
        <v>0</v>
      </c>
      <c r="E21" s="447"/>
      <c r="F21" s="148">
        <f>D18</f>
        <v>0.40878188538278287</v>
      </c>
      <c r="G21" s="147">
        <f>SUM(D19:D21)</f>
        <v>-1.0652072401484753</v>
      </c>
      <c r="I21" s="74"/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1000USD)</v>
      </c>
      <c r="E23" s="450" t="s">
        <v>231</v>
      </c>
      <c r="F23" s="450"/>
      <c r="G23" s="450"/>
    </row>
    <row r="24" spans="1:9" ht="15.75" customHeight="1" x14ac:dyDescent="0.3">
      <c r="B24" s="127" t="str">
        <f>"Exit after Year "&amp;G4</f>
        <v>Exit after Year 3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303</v>
      </c>
      <c r="C25" s="14">
        <f>1/D25</f>
        <v>8.3333333333333329E-2</v>
      </c>
      <c r="D25" s="298">
        <v>12</v>
      </c>
      <c r="E25" s="206">
        <f ca="1">G9*D25/G14</f>
        <v>3.4414683547162719</v>
      </c>
      <c r="F25" s="448">
        <f ca="1">SUM(C15:F15)</f>
        <v>0.92669060433677242</v>
      </c>
      <c r="G25" s="206">
        <f ca="1">$F$25+E25+$G$19</f>
        <v>3.7117336042873519</v>
      </c>
      <c r="I25" s="74" t="s">
        <v>322</v>
      </c>
    </row>
    <row r="26" spans="1:9" ht="15.75" customHeight="1" x14ac:dyDescent="0.3">
      <c r="B26" s="302" t="s">
        <v>304</v>
      </c>
      <c r="C26" s="303">
        <f t="shared" ref="C26" si="0">1/D26</f>
        <v>6.25E-2</v>
      </c>
      <c r="D26" s="315">
        <v>16</v>
      </c>
      <c r="E26" s="207">
        <f ca="1">G9*D26/G14</f>
        <v>4.5886244729550292</v>
      </c>
      <c r="F26" s="449"/>
      <c r="G26" s="207">
        <f ca="1">$F$25+E26+$G$19</f>
        <v>4.8588897225261096</v>
      </c>
      <c r="I26" s="74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21.390868810363322</v>
      </c>
      <c r="D29" s="23" t="str">
        <f ca="1">IF(C29&lt;E29,"&lt;",IF(C29=E29,"=","&gt;"))</f>
        <v>&lt;</v>
      </c>
      <c r="E29" s="251">
        <f ca="1">G26*Exchange_Rate</f>
        <v>38.135997105533392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45" t="s">
        <v>153</v>
      </c>
      <c r="D31" s="446"/>
      <c r="E31" s="30" t="s">
        <v>219</v>
      </c>
      <c r="F31" s="30" t="s">
        <v>18</v>
      </c>
      <c r="G31" s="30"/>
      <c r="H31" s="6"/>
    </row>
    <row r="32" spans="1:9" ht="15.75" customHeight="1" x14ac:dyDescent="0.3">
      <c r="B32" s="256" t="s">
        <v>233</v>
      </c>
      <c r="C32" s="253">
        <f ca="1">MIN(C29,E29)+ABS(C29-E29)*'Qualitative Analysis'!$E$64</f>
        <v>31.501594361852618</v>
      </c>
      <c r="D32" s="119" t="str">
        <f>Dashboard!J4</f>
        <v>HKD</v>
      </c>
      <c r="E32" s="120">
        <f ca="1">(C32-G19)/C9</f>
        <v>86.405514823590835</v>
      </c>
      <c r="F32" s="158">
        <f ca="1">C32/(Data!C28*Exchange_Rate*Data!C4/Common_Shares)</f>
        <v>1.4941744879977181</v>
      </c>
      <c r="G32" s="87"/>
      <c r="H32" s="6"/>
      <c r="I32" s="74"/>
    </row>
    <row r="33" spans="2:7" ht="15.75" customHeight="1" x14ac:dyDescent="0.3">
      <c r="B33" s="255" t="s">
        <v>232</v>
      </c>
      <c r="C33" s="254">
        <f ca="1">MAX(Asset_Model!D7,(G12/(1+G33)^G4+F25+G19)*Exchange_Rate)</f>
        <v>44.069106328733717</v>
      </c>
      <c r="D33" s="208" t="str">
        <f>D32</f>
        <v>HKD</v>
      </c>
      <c r="E33" s="120">
        <f ca="1">(C33-G19)/C9</f>
        <v>120.17321417570105</v>
      </c>
      <c r="F33" s="158">
        <f ca="1">C33/(Data!C28*Exchange_Rate*Data!C4/Common_Shares)</f>
        <v>2.0902730709081552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9 E13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24" sqref="E2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3</v>
      </c>
      <c r="E3" s="31" t="s">
        <v>156</v>
      </c>
      <c r="G3" s="79" t="s">
        <v>287</v>
      </c>
    </row>
    <row r="4" spans="1:7" ht="14" x14ac:dyDescent="0.3">
      <c r="B4" s="6" t="s">
        <v>288</v>
      </c>
      <c r="C4" s="96"/>
      <c r="D4" s="94">
        <f t="shared" ref="D4" si="0">IF(E4="Strongly disagree",0,IF(E4="disagree",1,IF(E4="unclear",2,IF(E4="agree",3,4))))</f>
        <v>4</v>
      </c>
      <c r="E4" s="31" t="s">
        <v>165</v>
      </c>
      <c r="G4" s="77"/>
    </row>
    <row r="5" spans="1:7" ht="14" x14ac:dyDescent="0.3">
      <c r="B5" s="6" t="s">
        <v>281</v>
      </c>
      <c r="C5" s="96"/>
      <c r="D5" s="94">
        <f>AVERAGE(D12:D16)</f>
        <v>2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282</v>
      </c>
      <c r="C6" s="96"/>
      <c r="D6" s="94">
        <f>AVERAGE(D24:D28)</f>
        <v>3.4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2.88</v>
      </c>
      <c r="E8" s="98">
        <f>D8/4</f>
        <v>0.72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0</v>
      </c>
      <c r="E12" s="31" t="s">
        <v>178</v>
      </c>
      <c r="F12" s="6"/>
      <c r="G12" s="295" t="s">
        <v>286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0</v>
      </c>
      <c r="E15" s="31" t="s">
        <v>178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308</v>
      </c>
      <c r="D18" s="100">
        <f>Asset_Model!J26</f>
        <v>1</v>
      </c>
      <c r="E18" s="49" t="str">
        <f>IF(D18&gt;=3.5,"Strongly agree",IF(D18&gt;=2.5,"agree",IF(D18&gt;=1.5,"unclear",IF(D18&gt;=0.5,"disagree","Strongly disagree"))))</f>
        <v>disagree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168</v>
      </c>
      <c r="D20" s="100">
        <f t="shared" si="1"/>
        <v>1</v>
      </c>
      <c r="E20" s="31" t="s">
        <v>163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1</v>
      </c>
      <c r="E22" s="31" t="s">
        <v>163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5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289</v>
      </c>
      <c r="D26" s="100">
        <f t="shared" si="2"/>
        <v>3</v>
      </c>
      <c r="E26" s="31" t="s">
        <v>156</v>
      </c>
      <c r="F26" s="6"/>
      <c r="G26" s="295"/>
    </row>
    <row r="27" spans="2:7" ht="15" customHeight="1" x14ac:dyDescent="0.3">
      <c r="B27" s="53" t="s">
        <v>290</v>
      </c>
      <c r="D27" s="100">
        <f t="shared" si="2"/>
        <v>4</v>
      </c>
      <c r="E27" s="31" t="s">
        <v>165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291</v>
      </c>
      <c r="D32" s="100">
        <f t="shared" si="3"/>
        <v>4</v>
      </c>
      <c r="E32" s="31" t="s">
        <v>165</v>
      </c>
      <c r="F32" s="6"/>
      <c r="G32" s="295"/>
    </row>
    <row r="33" spans="2:7" ht="15" customHeight="1" x14ac:dyDescent="0.3">
      <c r="B33" s="53" t="s">
        <v>292</v>
      </c>
      <c r="D33" s="100">
        <f t="shared" si="3"/>
        <v>1</v>
      </c>
      <c r="E33" s="31" t="s">
        <v>163</v>
      </c>
      <c r="F33" s="6"/>
      <c r="G33" s="295"/>
    </row>
    <row r="34" spans="2:7" ht="15" customHeight="1" x14ac:dyDescent="0.3">
      <c r="B34" s="53" t="s">
        <v>293</v>
      </c>
      <c r="D34" s="100">
        <f t="shared" si="3"/>
        <v>1</v>
      </c>
      <c r="E34" s="31" t="s">
        <v>163</v>
      </c>
      <c r="F34" s="6"/>
      <c r="G34" s="295"/>
    </row>
    <row r="35" spans="2:7" ht="15" customHeight="1" x14ac:dyDescent="0.3">
      <c r="B35" s="53" t="s">
        <v>310</v>
      </c>
      <c r="D35" s="100">
        <f t="shared" si="3"/>
        <v>2</v>
      </c>
      <c r="E35" s="31" t="s">
        <v>155</v>
      </c>
      <c r="G35" s="295"/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5"/>
    </row>
    <row r="38" spans="2:7" ht="15" customHeight="1" x14ac:dyDescent="0.3">
      <c r="B38" s="53" t="s">
        <v>294</v>
      </c>
      <c r="D38" s="100">
        <f t="shared" si="4"/>
        <v>0</v>
      </c>
      <c r="E38" s="31" t="s">
        <v>178</v>
      </c>
      <c r="F38" s="6"/>
      <c r="G38" s="295"/>
    </row>
    <row r="39" spans="2:7" ht="15" customHeight="1" x14ac:dyDescent="0.3">
      <c r="B39" s="53" t="s">
        <v>295</v>
      </c>
      <c r="D39" s="100">
        <f t="shared" si="4"/>
        <v>0</v>
      </c>
      <c r="E39" s="31" t="s">
        <v>178</v>
      </c>
      <c r="F39" s="6"/>
      <c r="G39" s="295"/>
    </row>
    <row r="40" spans="2:7" ht="15" customHeight="1" x14ac:dyDescent="0.3">
      <c r="B40" s="53" t="s">
        <v>296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297</v>
      </c>
      <c r="D41" s="100">
        <f t="shared" si="4"/>
        <v>0</v>
      </c>
      <c r="E41" s="31" t="s">
        <v>178</v>
      </c>
      <c r="G41" s="295"/>
    </row>
    <row r="42" spans="2:7" ht="15" customHeight="1" x14ac:dyDescent="0.3">
      <c r="B42" s="1" t="s">
        <v>181</v>
      </c>
      <c r="D42" s="103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4</v>
      </c>
      <c r="E45" s="31" t="s">
        <v>165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5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0.36564625850340138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298</v>
      </c>
      <c r="D52" s="100">
        <f t="shared" si="6"/>
        <v>1</v>
      </c>
      <c r="E52" s="31" t="s">
        <v>163</v>
      </c>
      <c r="G52" s="295"/>
    </row>
    <row r="53" spans="2:8" ht="15" customHeight="1" x14ac:dyDescent="0.3">
      <c r="B53" s="53" t="s">
        <v>299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5"/>
      <c r="H53" s="53"/>
    </row>
    <row r="54" spans="2:8" ht="15" customHeight="1" x14ac:dyDescent="0.3">
      <c r="B54" s="53" t="s">
        <v>300</v>
      </c>
      <c r="D54" s="104">
        <f t="array" ref="D54">(1-INDEX(B68:E77,MATCH(E54,B68:B77,0),4))*4</f>
        <v>2.3129251700680271</v>
      </c>
      <c r="E54" s="31" t="s">
        <v>321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2</v>
      </c>
      <c r="E57" s="31" t="s">
        <v>155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0.61520408163265305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2.4152040816326528</v>
      </c>
      <c r="E64" s="125">
        <f>AVERAGE(AVERAGE(D12:D16)/4,AVERAGE(D18:D22)/4,AVERAGE(D24:D28)/4,D62)</f>
        <v>0.60380102040816319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2023-03-17T09:25:09Z</dcterms:modified>
  <cp:category/>
  <cp:contentStatus/>
</cp:coreProperties>
</file>