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EA54AD3-FF48-436A-BCA1-4DCABDEAF08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I35" i="1" l="1"/>
  <c r="D14" i="1"/>
  <c r="F14" i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C33" i="4" s="1"/>
  <c r="E5" i="5"/>
  <c r="D30" i="4" l="1"/>
  <c r="H14" i="1"/>
  <c r="J25" i="1" s="1"/>
  <c r="F33" i="4" l="1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<sst xmlns="http://schemas.openxmlformats.org/spreadsheetml/2006/main" count="394" uniqueCount="332">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</sst>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10" zoomScaleNormal="100" workbookViewId="0">
      <selection activeCell="D34" sqref="D3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309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310</v>
      </c>
      <c r="D4" s="386"/>
      <c r="E4" s="6"/>
      <c r="G4" s="5" t="s">
        <v>5</v>
      </c>
      <c r="I4" s="32">
        <v>18.940000000000001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44987</v>
      </c>
      <c r="D5" s="386"/>
      <c r="E5" s="122" t="str">
        <f ca="1">IF(C5+30&gt;=TODAY(),"Patience Premium","")</f>
        <v>Patience Premium</v>
      </c>
      <c r="G5" s="5" t="s">
        <v>8</v>
      </c>
      <c r="I5" s="379">
        <v>7913203590</v>
      </c>
      <c r="J5" s="38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149876.07599460002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11.221370250338319</v>
      </c>
      <c r="J9" s="48">
        <f>IF(I9="NNI","NNI",1/I9)</f>
        <v>8.9115676400558161E-2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0.75066963039621148</v>
      </c>
      <c r="J10" s="130">
        <f>IF(Asset_Model!D60/'FCFF Model'!C4&lt;0,"Negative EV",Asset_Model!D60/'FCFF Model'!C4)</f>
        <v>252.93092774849015</v>
      </c>
    </row>
    <row r="11" spans="1:12" ht="15.75" customHeight="1" thickBot="1" x14ac:dyDescent="0.35">
      <c r="B11" s="313" t="s">
        <v>278</v>
      </c>
      <c r="C11" s="409">
        <f ca="1">C12-D10</f>
        <v>6.7000000000000004E-2</v>
      </c>
      <c r="D11" s="410"/>
      <c r="E11" s="13"/>
      <c r="G11" s="5" t="s">
        <v>15</v>
      </c>
      <c r="H11" s="6"/>
      <c r="I11" s="407" t="s">
        <v>311</v>
      </c>
      <c r="J11" s="408"/>
    </row>
    <row r="12" spans="1:12" ht="15.75" customHeight="1" thickTop="1" x14ac:dyDescent="0.3">
      <c r="B12" s="314" t="s">
        <v>150</v>
      </c>
      <c r="C12" s="411">
        <f ca="1">IF(C10="CN",8%,6%)*IF($C$5+30&gt;=TODAY(),1.2,1)</f>
        <v>9.6000000000000002E-2</v>
      </c>
      <c r="D12" s="412"/>
      <c r="G12" s="134" t="s">
        <v>16</v>
      </c>
      <c r="H12" s="133"/>
      <c r="I12" s="135">
        <v>7.8487060384870606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7.2219162630852987</v>
      </c>
      <c r="E14" s="127" t="s">
        <v>234</v>
      </c>
      <c r="F14" s="184">
        <f ca="1">MAX('FCFF Model'!C30,'FCFF Model'!E30)</f>
        <v>27.057606772060179</v>
      </c>
      <c r="G14" s="185" t="s">
        <v>24</v>
      </c>
      <c r="H14" s="193">
        <f ca="1">IF('FCFF Model'!C33&lt;0, "Error", 'FCFF Model'!C33)</f>
        <v>19.680281674428009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18.940000000000001</v>
      </c>
      <c r="C16" s="418">
        <v>0.1</v>
      </c>
      <c r="D16" s="159">
        <f ca="1">H14/B16-1-C16</f>
        <v>-6.0914378330094637E-2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-2.3084135634157583</v>
      </c>
      <c r="I16" s="402" t="s">
        <v>26</v>
      </c>
      <c r="J16" s="206">
        <f>B16-$H$16</f>
        <v>21.24841356341576</v>
      </c>
    </row>
    <row r="17" spans="1:10" ht="15.75" customHeight="1" x14ac:dyDescent="0.3">
      <c r="B17" s="290">
        <f ca="1">H14/(1+C16)</f>
        <v>17.891165158570917</v>
      </c>
      <c r="C17" s="419"/>
      <c r="D17" s="289">
        <f ca="1">H14/B17-1-C16</f>
        <v>0</v>
      </c>
      <c r="E17" s="416"/>
      <c r="F17" s="162">
        <f ca="1">E16/B17</f>
        <v>0</v>
      </c>
      <c r="G17" s="403"/>
      <c r="H17" s="400"/>
      <c r="I17" s="403"/>
      <c r="J17" s="205">
        <f ca="1">B17-$H$16</f>
        <v>20.199578721986676</v>
      </c>
    </row>
    <row r="18" spans="1:10" ht="15.75" customHeight="1" x14ac:dyDescent="0.3">
      <c r="B18" s="356">
        <f>C35</f>
        <v>15</v>
      </c>
      <c r="C18" s="420"/>
      <c r="D18" s="160">
        <f ca="1">H14/B18-1-C16</f>
        <v>0.21201877829520063</v>
      </c>
      <c r="E18" s="417"/>
      <c r="F18" s="163">
        <f>E16/B18</f>
        <v>0</v>
      </c>
      <c r="G18" s="404"/>
      <c r="H18" s="401"/>
      <c r="I18" s="404"/>
      <c r="J18" s="207">
        <f>B18-$H$16</f>
        <v>17.308413563415758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/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/>
      <c r="D22" s="371"/>
      <c r="E22" s="371"/>
      <c r="F22" s="371"/>
      <c r="G22" s="406"/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/>
      <c r="D23" s="394"/>
      <c r="E23" s="394"/>
      <c r="F23" s="394"/>
      <c r="G23" s="393"/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15.744225339542407</v>
      </c>
    </row>
    <row r="26" spans="1:10" ht="15.75" customHeight="1" x14ac:dyDescent="0.3">
      <c r="B26" s="23" t="s">
        <v>33</v>
      </c>
      <c r="C26" s="388">
        <v>44987</v>
      </c>
      <c r="D26" s="389"/>
      <c r="E26" s="424" t="str">
        <f>IF(C26="","","Action_Planning")</f>
        <v>Action_Planning</v>
      </c>
      <c r="F26" s="425"/>
      <c r="G26" s="425"/>
      <c r="H26" s="426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5.5E-2</v>
      </c>
      <c r="D27" s="369"/>
      <c r="E27" s="413">
        <f>E31/D25</f>
        <v>0.10199999999999999</v>
      </c>
      <c r="F27" s="369"/>
      <c r="G27" s="422">
        <f>G31/D25</f>
        <v>0</v>
      </c>
      <c r="H27" s="423"/>
      <c r="I27" s="421">
        <f>C27+E27+G27</f>
        <v>0.157</v>
      </c>
      <c r="J27" s="421"/>
    </row>
    <row r="28" spans="1:10" ht="15.75" customHeight="1" x14ac:dyDescent="0.3">
      <c r="B28" s="23" t="s">
        <v>36</v>
      </c>
      <c r="C28" s="370">
        <v>2000</v>
      </c>
      <c r="D28" s="371"/>
      <c r="E28" s="370">
        <v>4000</v>
      </c>
      <c r="F28" s="371"/>
      <c r="G28" s="379"/>
      <c r="H28" s="380"/>
      <c r="I28" s="359">
        <f>C28+E28+G28</f>
        <v>6000</v>
      </c>
      <c r="J28" s="359"/>
    </row>
    <row r="29" spans="1:10" ht="15.75" customHeight="1" x14ac:dyDescent="0.3">
      <c r="B29" s="23" t="s">
        <v>37</v>
      </c>
      <c r="C29" s="372">
        <v>16.5</v>
      </c>
      <c r="D29" s="371"/>
      <c r="E29" s="372">
        <v>15.3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130567.859235</v>
      </c>
      <c r="D30" s="364"/>
      <c r="E30" s="357">
        <f>E29*$I$5/1000000</f>
        <v>121072.014927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33000</v>
      </c>
      <c r="D31" s="366"/>
      <c r="E31" s="358">
        <f>E28*E29</f>
        <v>61200</v>
      </c>
      <c r="F31" s="367"/>
      <c r="G31" s="377">
        <f>G28*G29</f>
        <v>0</v>
      </c>
      <c r="H31" s="378"/>
      <c r="I31" s="358">
        <f>C31+E31+G31</f>
        <v>94200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15.7</v>
      </c>
      <c r="F32" s="369"/>
      <c r="G32" s="117"/>
      <c r="H32" s="117"/>
      <c r="I32" s="368">
        <f>IF(I31=0,"",I31/I28)</f>
        <v>15.7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124237.296363</v>
      </c>
      <c r="F33" s="364"/>
      <c r="G33" s="118"/>
      <c r="H33" s="118"/>
      <c r="I33" s="357">
        <f>IF(I32="","",I32*$I$5/1000000)</f>
        <v>124237.296363</v>
      </c>
      <c r="J33" s="357"/>
    </row>
    <row r="34" spans="2:11" ht="15.75" customHeight="1" x14ac:dyDescent="0.3"/>
    <row r="35" spans="2:11" ht="15.75" customHeight="1" x14ac:dyDescent="0.3">
      <c r="B35" s="146" t="s">
        <v>326</v>
      </c>
      <c r="C35" s="427">
        <v>15</v>
      </c>
      <c r="D35" s="428"/>
      <c r="G35" s="432" t="s">
        <v>328</v>
      </c>
      <c r="H35" s="433"/>
      <c r="I35" s="427">
        <f ca="1">'FCFF Model'!C34*0.8</f>
        <v>32.912933039102903</v>
      </c>
      <c r="J35" s="428"/>
    </row>
    <row r="36" spans="2:11" ht="15.75" customHeight="1" x14ac:dyDescent="0.3">
      <c r="B36" s="146" t="s">
        <v>327</v>
      </c>
      <c r="C36" s="370">
        <f>E28</f>
        <v>4000</v>
      </c>
      <c r="D36" s="429"/>
    </row>
    <row r="37" spans="2:11" ht="15.75" customHeight="1" x14ac:dyDescent="0.3"/>
    <row r="38" spans="2:11" ht="15.75" customHeight="1" x14ac:dyDescent="0.3">
      <c r="J38" s="430"/>
      <c r="K38" s="431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3">
    <mergeCell ref="C35:D35"/>
    <mergeCell ref="C36:D36"/>
    <mergeCell ref="I35:J35"/>
    <mergeCell ref="J38:K38"/>
    <mergeCell ref="G35:H35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I16">
    <cfRule type="cellIs" dxfId="17" priority="24" operator="lessThan">
      <formula>0</formula>
    </cfRule>
  </conditionalFormatting>
  <conditionalFormatting sqref="C26:D26 I26 C28:G29 I28:I29">
    <cfRule type="containsBlanks" priority="18">
      <formula>LEN(TRIM(C26))=0</formula>
    </cfRule>
  </conditionalFormatting>
  <conditionalFormatting sqref="D16 D18">
    <cfRule type="cellIs" dxfId="16" priority="14" operator="lessThan">
      <formula>0</formula>
    </cfRule>
  </conditionalFormatting>
  <conditionalFormatting sqref="H16">
    <cfRule type="cellIs" dxfId="15" priority="9" operator="greaterThan">
      <formula>$B$16</formula>
    </cfRule>
  </conditionalFormatting>
  <conditionalFormatting sqref="H14">
    <cfRule type="cellIs" dxfId="14" priority="6" operator="greaterThan">
      <formula>$B$16</formula>
    </cfRule>
  </conditionalFormatting>
  <conditionalFormatting sqref="C35:D36">
    <cfRule type="containsBlanks" priority="5">
      <formula>LEN(TRIM(C35))=0</formula>
    </cfRule>
  </conditionalFormatting>
  <conditionalFormatting sqref="I35:J35">
    <cfRule type="containsBlanks" priority="4">
      <formula>LEN(TRIM(I35))=0</formula>
    </cfRule>
  </conditionalFormatting>
  <conditionalFormatting sqref="J38:K38">
    <cfRule type="containsBlanks" priority="3">
      <formula>LEN(TRIM(J38))=0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3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18.993891735329701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1.3582139467842875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8694432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8694432</v>
      </c>
      <c r="E53" s="366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44">
        <v>0</v>
      </c>
      <c r="E54" s="371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371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147569071.99460003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-0.64687443506582265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-0.64687443506582265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4" sqref="C3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G18*Data!C$4/Dashboard!I5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47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47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1" t="s">
        <v>231</v>
      </c>
      <c r="F23" s="451"/>
      <c r="G23" s="451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48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49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50"/>
      <c r="G27" s="207">
        <f ca="1">$F$25+E27+$G$19</f>
        <v>4.6649141873049986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7.2219162630852987</v>
      </c>
      <c r="D30" s="23" t="str">
        <f ca="1">IF(C30&lt;E30,"&lt;",IF(C30=E30,"=","&gt;"))</f>
        <v>&lt;</v>
      </c>
      <c r="E30" s="251">
        <f ca="1">G26*Exchange_Rate</f>
        <v>27.057606772060179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5" t="s">
        <v>153</v>
      </c>
      <c r="D32" s="446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19.680281674428009</v>
      </c>
      <c r="D33" s="119" t="str">
        <f>Dashboard!J4</f>
        <v>HKD</v>
      </c>
      <c r="E33" s="120">
        <f ca="1">(C33-G19)/C9</f>
        <v>441.37292878100999</v>
      </c>
      <c r="F33" s="158">
        <f ca="1">C33/(Data!C28*Exchange_Rate*Data!C4/Common_Shares)</f>
        <v>0.78001001956896554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41.14116629887863</v>
      </c>
      <c r="D34" s="208" t="str">
        <f>D33</f>
        <v>HKD</v>
      </c>
      <c r="E34" s="120">
        <f ca="1">(C34-G19)/C9</f>
        <v>915.59271002006221</v>
      </c>
      <c r="F34" s="158">
        <f ca="1">C34/(Data!C28*Exchange_Rate*Data!C4/Common_Shares)</f>
        <v>1.6305926134977979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2023-03-17T09:25:17Z</dcterms:modified>
  <cp:category/>
  <cp:contentStatus/>
</cp:coreProperties>
</file>