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72DB069D-D5CD-4B49-BCBB-EDC9D6E5FF56}" xr6:coauthVersionLast="47" xr6:coauthVersionMax="47" xr10:uidLastSave="{00000000-0000-0000-0000-000000000000}"/>
  <bookViews>
    <workbookView xWindow="35250" yWindow="4110" windowWidth="8625" windowHeight="463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7" i="7" l="1"/>
  <c r="E52" i="2"/>
  <c r="F52" i="2"/>
  <c r="G52" i="2"/>
  <c r="H52" i="2"/>
  <c r="I52" i="2"/>
  <c r="J52" i="2"/>
  <c r="K52" i="2"/>
  <c r="L52" i="2"/>
  <c r="M52" i="2"/>
  <c r="D52" i="2"/>
  <c r="C52" i="2"/>
  <c r="E51" i="2"/>
  <c r="F51" i="2"/>
  <c r="G51" i="2"/>
  <c r="H51" i="2"/>
  <c r="I51" i="2"/>
  <c r="J51" i="2"/>
  <c r="K51" i="2"/>
  <c r="L51" i="2"/>
  <c r="M51" i="2"/>
  <c r="D51" i="2"/>
  <c r="C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C37" i="1"/>
  <c r="B16" i="1"/>
  <c r="C30" i="4"/>
  <c r="G14" i="7" l="1"/>
  <c r="C18" i="7"/>
  <c r="C14" i="7"/>
  <c r="E14" i="7" s="1"/>
  <c r="E13" i="7" s="1"/>
  <c r="E10" i="7"/>
  <c r="G8" i="7"/>
  <c r="G7" i="7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G13" i="2" l="1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4" i="1"/>
  <c r="I33" i="1"/>
  <c r="I34" i="1" s="1"/>
  <c r="I35" i="1" s="1"/>
  <c r="E50" i="3"/>
  <c r="I29" i="1"/>
  <c r="E3" i="3"/>
  <c r="E15" i="2"/>
  <c r="F13" i="2"/>
  <c r="F16" i="2"/>
  <c r="E16" i="2"/>
  <c r="E35" i="2" s="1"/>
  <c r="E44" i="2"/>
  <c r="D17" i="2"/>
  <c r="D45" i="2"/>
  <c r="D15" i="2"/>
  <c r="D44" i="2"/>
  <c r="D13" i="2"/>
  <c r="D35" i="2"/>
  <c r="C45" i="2"/>
  <c r="C17" i="2"/>
  <c r="F4" i="2"/>
  <c r="C35" i="2"/>
  <c r="C15" i="2"/>
  <c r="C16" i="7" s="1"/>
  <c r="C44" i="2"/>
  <c r="E3" i="7"/>
  <c r="C3" i="4"/>
  <c r="J18" i="1"/>
  <c r="J16" i="1"/>
  <c r="F30" i="4"/>
  <c r="C20" i="4"/>
  <c r="B3" i="7"/>
  <c r="C11" i="1"/>
  <c r="D12" i="2" l="1"/>
  <c r="D48" i="2"/>
  <c r="C12" i="2"/>
  <c r="C48" i="2"/>
  <c r="F12" i="2"/>
  <c r="F48" i="2"/>
  <c r="E46" i="3"/>
  <c r="D46" i="3" s="1"/>
  <c r="C16" i="4"/>
  <c r="D16" i="4" s="1"/>
  <c r="D62" i="5"/>
  <c r="E62" i="5" s="1"/>
  <c r="D60" i="3"/>
  <c r="D6" i="3"/>
  <c r="E35" i="1"/>
  <c r="C38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D50" i="3"/>
  <c r="E25" i="3"/>
  <c r="E45" i="3" s="1"/>
  <c r="D24" i="3"/>
  <c r="D44" i="3"/>
  <c r="D49" i="3"/>
  <c r="F17" i="2"/>
  <c r="F45" i="2"/>
  <c r="E45" i="2"/>
  <c r="E17" i="2"/>
  <c r="G18" i="4" l="1"/>
  <c r="G15" i="4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3" i="1"/>
  <c r="E7" i="4" l="1"/>
  <c r="E8" i="4" s="1"/>
  <c r="G9" i="4" s="1"/>
  <c r="D12" i="4"/>
  <c r="E6" i="3"/>
  <c r="E17" i="4"/>
  <c r="F16" i="1"/>
  <c r="H16" i="1" s="1"/>
  <c r="E5" i="4"/>
  <c r="E10" i="4"/>
  <c r="F41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2" i="4" l="1"/>
  <c r="I38" i="1" s="1"/>
  <c r="C31" i="4"/>
  <c r="I37" i="1" s="1"/>
  <c r="D18" i="1" s="1"/>
  <c r="E14" i="1"/>
  <c r="E27" i="4"/>
  <c r="F27" i="4"/>
  <c r="D16" i="1" l="1"/>
  <c r="E31" i="4"/>
  <c r="F31" i="4"/>
  <c r="B17" i="1"/>
  <c r="D17" i="1" s="1"/>
  <c r="E48" i="1"/>
  <c r="F48" i="1"/>
  <c r="F32" i="4"/>
  <c r="E32" i="4"/>
  <c r="J17" i="1" l="1"/>
  <c r="H17" i="1"/>
  <c r="F47" i="1"/>
  <c r="E47" i="1"/>
  <c r="E52" i="1" l="1"/>
  <c r="E50" i="1"/>
  <c r="E51" i="1"/>
  <c r="F52" i="1"/>
  <c r="F50" i="1"/>
  <c r="F51" i="1"/>
  <c r="E53" i="1" l="1"/>
  <c r="F53" i="1"/>
</calcChain>
</file>

<file path=xl/sharedStrings.xml><?xml version="1.0" encoding="utf-8"?>
<sst xmlns="http://schemas.openxmlformats.org/spreadsheetml/2006/main" count="433" uniqueCount="364">
  <si>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</si>
  <si>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</si>
  <si>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</si>
  <si>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</si>
  <si>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</si>
  <si>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</si>
  <si>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</si>
  <si>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</si>
  <si>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</si>
  <si>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</si>
  <si>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</si>
  <si>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</si>
  <si>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</si>
  <si>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</si>
  <si>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</si>
  <si>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</si>
  <si>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</si>
  <si>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</si>
  <si>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</si>
  <si>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</si>
  <si>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</si>
  <si>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</si>
  <si>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</si>
  <si>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</si>
  <si>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</si>
  <si>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</si>
  <si>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</si>
  <si>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</si>
  <si>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</si>
  <si>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</si>
  <si>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</si>
  <si>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</si>
  <si>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</si>
  <si>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</si>
  <si>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</si>
  <si>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</si>
  <si>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</si>
  <si>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</si>
  <si>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</si>
  <si>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</si>
  <si>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</si>
  <si>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</si>
  <si>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</si>
  <si>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</si>
  <si>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</si>
  <si>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</si>
  <si>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</si>
  <si>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</si>
  <si>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</si>
  <si>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</si>
  <si>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</si>
  <si>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</si>
  <si>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</si>
  <si>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</si>
  <si>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</si>
  <si>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</si>
  <si>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</si>
  <si>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</si>
  <si>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</si>
  <si>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</si>
  <si>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</si>
  <si>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</si>
  <si>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</si>
  <si>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</si>
  <si>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</si>
  <si>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</si>
  <si>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</si>
  <si>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</si>
  <si>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</si>
  <si>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</si>
  <si>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</si>
  <si>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</si>
  <si>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</si>
  <si>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</si>
  <si>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</si>
  <si>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</si>
  <si>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</si>
  <si>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</si>
  <si>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</si>
  <si>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</si>
  <si>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</si>
  <si>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</si>
  <si>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</si>
  <si>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</si>
  <si>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</si>
  <si>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</si>
  <si>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</si>
  <si>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</si>
  <si>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</si>
  <si>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</si>
  <si>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</si>
  <si>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</si>
  <si>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</si>
  <si>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</si>
  <si>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</si>
  <si>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</si>
  <si>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</si>
  <si>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</si>
  <si>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</si>
  <si>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</si>
  <si>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</si>
  <si>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</si>
  <si>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</si>
  <si>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</si>
  <si>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</si>
  <si>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</si>
  <si>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</si>
  <si>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</si>
  <si>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</si>
  <si>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</si>
  <si>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</si>
  <si>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</si>
  <si>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</si>
  <si>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</si>
  <si>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</si>
  <si>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</si>
  <si>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</si>
  <si>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</si>
  <si>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</si>
  <si>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</si>
  <si>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</si>
  <si>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</si>
  <si>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</si>
  <si>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</si>
  <si>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</si>
  <si>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</si>
  <si>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</si>
  <si>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</si>
  <si>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</si>
  <si>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</si>
  <si>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</si>
  <si>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</si>
  <si>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</si>
  <si>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</si>
  <si>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</si>
  <si>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</si>
  <si>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</si>
  <si>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</si>
  <si>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</si>
  <si>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</si>
  <si>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</si>
  <si>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</si>
  <si>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</si>
  <si>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</si>
  <si>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</si>
  <si>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</si>
  <si>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</si>
  <si>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</si>
  <si>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</si>
  <si>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</si>
  <si>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</si>
  <si>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</si>
  <si>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</si>
  <si>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</si>
  <si>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</si>
  <si>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</si>
  <si>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</si>
  <si>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</si>
  <si>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</si>
  <si>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</si>
  <si>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</si>
  <si>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</si>
  <si>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</si>
  <si>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</si>
  <si>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</si>
  <si>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</si>
  <si>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</si>
  <si>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</si>
  <si>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</si>
  <si>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</si>
  <si>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</si>
  <si>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</si>
  <si>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</si>
  <si>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</si>
  <si>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</si>
  <si>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</si>
  <si>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</si>
  <si>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</si>
  <si>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</si>
  <si>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</si>
  <si>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</si>
  <si>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</si>
  <si>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</si>
  <si>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</si>
  <si>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</si>
  <si>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</si>
  <si>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</si>
  <si>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</si>
  <si>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</si>
  <si>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</si>
  <si>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</si>
  <si>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</si>
  <si>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</si>
  <si>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</si>
  <si>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</si>
  <si>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</si>
  <si>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</si>
  <si>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</si>
  <si>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</si>
  <si>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</si>
  <si>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</si>
  <si>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</si>
  <si>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</si>
  <si>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</si>
  <si>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</si>
  <si>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</si>
  <si>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</si>
  <si>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</si>
  <si>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</si>
  <si>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</si>
  <si>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</si>
  <si>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</si>
  <si>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</si>
  <si>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</si>
  <si>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</si>
  <si>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</si>
  <si>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</si>
  <si>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</si>
  <si>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</si>
  <si>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</si>
  <si>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</si>
  <si>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</si>
  <si>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</si>
  <si>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</si>
  <si>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</si>
  <si>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</si>
  <si>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</si>
  <si>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</si>
  <si>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</si>
  <si>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</si>
  <si>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</si>
  <si>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</si>
  <si>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</si>
  <si>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</si>
  <si>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</si>
  <si>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</si>
  <si>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</si>
  <si>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</si>
  <si>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</si>
  <si>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</si>
  <si>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</si>
  <si>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</si>
  <si>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</si>
  <si>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</si>
  <si>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</si>
  <si>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</si>
  <si>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</si>
  <si>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</si>
  <si>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</si>
  <si>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</si>
  <si>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</si>
  <si>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</si>
  <si>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</si>
  <si>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</si>
  <si>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</si>
  <si>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</si>
  <si>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</si>
  <si>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</si>
  <si>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</si>
  <si>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</si>
  <si>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</si>
  <si>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</si>
  <si>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</si>
  <si>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</si>
  <si>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</si>
  <si>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</si>
  <si>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</si>
  <si>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</si>
  <si>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</si>
  <si>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</si>
  <si>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</si>
  <si>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</si>
  <si>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</si>
  <si>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</si>
  <si>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</si>
  <si>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</si>
  <si>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</si>
  <si>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</si>
  <si>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</si>
  <si>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</si>
  <si>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</si>
  <si>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</si>
  <si>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</si>
  <si>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</si>
  <si>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</si>
  <si>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</si>
  <si>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</si>
  <si>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</si>
  <si>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</si>
  <si>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</si>
  <si>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</si>
  <si>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</si>
  <si>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</si>
  <si>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</si>
  <si>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</si>
  <si>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</si>
  <si>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</si>
  <si>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</si>
  <si>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</si>
  <si>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</si>
  <si>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</si>
  <si>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</si>
  <si>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</si>
  <si>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</si>
  <si>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</si>
  <si>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</si>
  <si>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</si>
  <si>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</si>
  <si>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</si>
  <si>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</si>
  <si>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</si>
  <si>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</si>
  <si>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</si>
  <si>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</si>
  <si>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</si>
  <si>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</si>
  <si>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</si>
  <si>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</si>
  <si>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</si>
  <si>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</si>
  <si>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</si>
  <si>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</si>
  <si>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</si>
  <si>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</si>
  <si>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</si>
  <si>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</si>
  <si>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</si>
  <si>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</si>
  <si>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</si>
  <si>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</si>
  <si>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</si>
  <si>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</si>
  <si>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</si>
  <si>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</si>
  <si>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</si>
  <si>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</si>
  <si>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</si>
  <si>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</si>
  <si>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</si>
  <si>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</si>
  <si>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</si>
  <si>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</si>
  <si>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</si>
  <si>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</si>
  <si>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</si>
  <si>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</si>
  <si>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</si>
  <si>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</si>
  <si>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</si>
  <si>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</si>
  <si>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</si>
  <si>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1. 72%收入来自物业销售，22年楼市差，实质比例更高
2. 物业销售(特别内地)业绩波动较大，难以预测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</si>
  <si>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</si>
  <si>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</si>
  <si>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</si>
  <si>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</si>
  <si>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</si>
  <si>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</si>
  <si>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</si>
  <si>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</si>
  <si>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</si>
  <si>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Expect the coming FY to be report terrible P&amp;L result</t>
  </si>
  <si>
    <t>1. 香港大众住宅楼市场基本饱和、商业物业市场低迷、办公楼(特别九龙)供应量过大
2. 内地市场低迷
3. 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</si>
  <si>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我认为是短期影响，而且开关后正在恢复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</si>
</sst>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5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6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0" xfId="0" applyNumberFormat="1" applyFont="1" applyFill="1" applyBorder="1" applyAlignment="1">
      <alignment horizontal="center"/>
    </xf>
    <xf numFmtId="3" fontId="1" fillId="0" borderId="90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1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2" xfId="0" applyFont="1" applyBorder="1" applyAlignment="1">
      <alignment horizontal="center"/>
    </xf>
    <xf numFmtId="0" fontId="7" fillId="0" borderId="93" xfId="0" applyFont="1" applyBorder="1" applyAlignment="1">
      <alignment horizontal="center"/>
    </xf>
    <xf numFmtId="0" fontId="2" fillId="9" borderId="94" xfId="0" applyFont="1" applyFill="1" applyBorder="1" applyAlignment="1">
      <alignment horizontal="center"/>
    </xf>
    <xf numFmtId="3" fontId="1" fillId="0" borderId="95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7" xfId="0" applyNumberFormat="1" applyFont="1" applyBorder="1" applyAlignment="1">
      <alignment horizontal="left"/>
    </xf>
    <xf numFmtId="4" fontId="4" fillId="8" borderId="98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0" fontId="15" fillId="21" borderId="100" xfId="0" applyFont="1" applyFill="1" applyBorder="1" applyAlignment="1">
      <alignment horizontal="center"/>
    </xf>
    <xf numFmtId="4" fontId="5" fillId="0" borderId="101" xfId="0" applyNumberFormat="1" applyFont="1" applyBorder="1" applyAlignment="1">
      <alignment horizontal="center"/>
    </xf>
    <xf numFmtId="4" fontId="15" fillId="0" borderId="102" xfId="0" applyNumberFormat="1" applyFont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5" fillId="0" borderId="103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8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5" xfId="0" applyNumberFormat="1" applyFont="1" applyBorder="1" applyAlignment="1">
      <alignment horizontal="center"/>
    </xf>
    <xf numFmtId="10" fontId="15" fillId="0" borderId="107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8" xfId="0" applyNumberFormat="1" applyFont="1" applyBorder="1" applyAlignment="1">
      <alignment horizontal="center"/>
    </xf>
    <xf numFmtId="2" fontId="1" fillId="0" borderId="108" xfId="0" applyNumberFormat="1" applyFont="1" applyBorder="1" applyAlignment="1">
      <alignment horizontal="center"/>
    </xf>
    <xf numFmtId="10" fontId="1" fillId="0" borderId="117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10" fontId="2" fillId="8" borderId="88" xfId="0" applyNumberFormat="1" applyFont="1" applyFill="1" applyBorder="1" applyAlignment="1">
      <alignment horizontal="center"/>
    </xf>
    <xf numFmtId="10" fontId="2" fillId="8" borderId="89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6" xfId="0" applyNumberFormat="1" applyFont="1" applyFill="1" applyBorder="1" applyAlignment="1">
      <alignment horizontal="center" vertical="center"/>
    </xf>
    <xf numFmtId="0" fontId="2" fillId="9" borderId="90" xfId="0" applyFont="1" applyFill="1" applyBorder="1" applyAlignment="1">
      <alignment horizontal="left" vertical="center" wrapText="1"/>
    </xf>
    <xf numFmtId="0" fontId="7" fillId="8" borderId="90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115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6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7" xfId="0" applyNumberFormat="1" applyFont="1" applyFill="1" applyBorder="1" applyAlignment="1">
      <alignment horizontal="center"/>
    </xf>
    <xf numFmtId="10" fontId="2" fillId="16" borderId="86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2" fillId="9" borderId="1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10" zoomScaleNormal="100" workbookViewId="0">
      <selection activeCell="C24" sqref="C24:J2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2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08" t="s">
        <v>315</v>
      </c>
      <c r="D3" s="409"/>
      <c r="E3" s="15"/>
      <c r="G3" s="7" t="s">
        <v>2</v>
      </c>
      <c r="I3" s="418" t="s">
        <v>3</v>
      </c>
      <c r="J3" s="419"/>
    </row>
    <row r="4" spans="1:12" ht="15.75" customHeight="1">
      <c r="B4" s="5" t="s">
        <v>4</v>
      </c>
      <c r="C4" s="410" t="s">
        <v>316</v>
      </c>
      <c r="D4" s="411"/>
      <c r="E4" s="6"/>
      <c r="G4" s="5" t="s">
        <v>5</v>
      </c>
      <c r="I4" s="31">
        <v>9.6999999999999993</v>
      </c>
      <c r="J4" s="32" t="s">
        <v>6</v>
      </c>
      <c r="K4" s="148"/>
    </row>
    <row r="5" spans="1:12" ht="15.75" customHeight="1">
      <c r="B5" s="5" t="s">
        <v>7</v>
      </c>
      <c r="C5" s="412">
        <v>44956</v>
      </c>
      <c r="D5" s="411"/>
      <c r="E5" s="119" t="str">
        <f ca="1">IF(C5+30&gt;=TODAY(),"Patience Premium","")</f>
        <v/>
      </c>
      <c r="G5" s="5" t="s">
        <v>8</v>
      </c>
      <c r="I5" s="383">
        <v>8171879936</v>
      </c>
      <c r="J5" s="384"/>
      <c r="K5" s="147"/>
      <c r="L5" s="83"/>
    </row>
    <row r="6" spans="1:12" ht="15.75" customHeight="1">
      <c r="B6" s="12" t="s">
        <v>240</v>
      </c>
      <c r="C6" s="251">
        <v>8</v>
      </c>
      <c r="D6" s="252">
        <f>EOMONTH(EDATE(Asset_Model!D9,C6),0)</f>
        <v>45169</v>
      </c>
      <c r="E6" s="320">
        <f>IF(Asset_Model!E9="FY",Asset_Model!D9,Data!C3)</f>
        <v>44742</v>
      </c>
      <c r="G6" s="130" t="s">
        <v>9</v>
      </c>
      <c r="H6" s="129"/>
      <c r="I6" s="420">
        <f>I4*I5/1000000</f>
        <v>79267.235379199992</v>
      </c>
      <c r="J6" s="421"/>
      <c r="K6" s="147"/>
    </row>
    <row r="7" spans="1:12" ht="15.75" customHeight="1">
      <c r="B7" s="135" t="s">
        <v>10</v>
      </c>
      <c r="C7" s="141">
        <f>(Data!C39*Exchange_Rate)/I4</f>
        <v>3.8523949843737054E-2</v>
      </c>
      <c r="D7" s="141">
        <f>(Data!C40*Exchange_Rate)/I4</f>
        <v>0</v>
      </c>
      <c r="E7" s="149"/>
      <c r="F7" s="6"/>
    </row>
    <row r="8" spans="1:12" ht="15.75" customHeight="1">
      <c r="C8" s="93"/>
      <c r="E8" s="6"/>
      <c r="G8" s="21" t="s">
        <v>11</v>
      </c>
      <c r="H8" s="128"/>
      <c r="I8" s="6"/>
      <c r="J8" s="6"/>
    </row>
    <row r="9" spans="1:12" ht="15.75" customHeight="1">
      <c r="B9" s="21" t="s">
        <v>12</v>
      </c>
      <c r="C9" s="278"/>
      <c r="D9" s="276"/>
      <c r="E9" s="5"/>
      <c r="G9" s="5" t="s">
        <v>13</v>
      </c>
      <c r="I9" s="118">
        <f>IF(Data!F3&lt;=0,"NNI",I4/((Data!F3*I12)/(I5/Data!C4)))</f>
        <v>13.820708348508106</v>
      </c>
      <c r="J9" s="47">
        <f>IF(I9="NNI","NNI",1/I9)</f>
        <v>7.2355191556295759E-2</v>
      </c>
    </row>
    <row r="10" spans="1:12" ht="15.75" customHeight="1">
      <c r="B10" s="3" t="s">
        <v>256</v>
      </c>
      <c r="C10" s="277" t="s">
        <v>322</v>
      </c>
      <c r="D10" s="277">
        <v>3.6810000000000002E-2</v>
      </c>
      <c r="E10" s="5"/>
      <c r="G10" s="5" t="s">
        <v>14</v>
      </c>
      <c r="I10" s="134">
        <f>I4/(Data!C28*I12*Data!C4/Common_Shares)</f>
        <v>0.50096681612160732</v>
      </c>
      <c r="J10" s="126">
        <f>IF(Asset_Model!D60/'FCFF Model'!C4&lt;0,"Negative EV",Asset_Model!D60/'FCFF Model'!C4)</f>
        <v>3.2413560514589741</v>
      </c>
    </row>
    <row r="11" spans="1:12" ht="15.75" customHeight="1" thickBot="1">
      <c r="B11" s="286" t="s">
        <v>257</v>
      </c>
      <c r="C11" s="381">
        <f ca="1">C12-D10</f>
        <v>2.3189999999999995E-2</v>
      </c>
      <c r="D11" s="382"/>
      <c r="E11" s="13"/>
      <c r="G11" s="5" t="s">
        <v>15</v>
      </c>
      <c r="H11" s="6"/>
      <c r="I11" s="430" t="s">
        <v>6</v>
      </c>
      <c r="J11" s="431"/>
    </row>
    <row r="12" spans="1:12" ht="15.75" customHeight="1" thickTop="1">
      <c r="B12" s="287" t="s">
        <v>143</v>
      </c>
      <c r="C12" s="428">
        <f ca="1">IF(C10="CN",8%,6%)*IF($C$5+30&gt;=TODAY(),1.2,1)</f>
        <v>0.06</v>
      </c>
      <c r="D12" s="429"/>
      <c r="G12" s="130" t="s">
        <v>16</v>
      </c>
      <c r="H12" s="129"/>
      <c r="I12" s="131">
        <v>1</v>
      </c>
      <c r="J12" s="132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7" t="s">
        <v>330</v>
      </c>
      <c r="D14" s="237"/>
      <c r="E14" s="188">
        <f ca="1">'FCFF Model'!C27</f>
        <v>10.735099766534228</v>
      </c>
      <c r="F14" s="180"/>
      <c r="G14" s="181"/>
      <c r="H14" s="129"/>
      <c r="I14" s="129"/>
      <c r="J14" s="129"/>
    </row>
    <row r="15" spans="1:12" ht="15.75" customHeight="1">
      <c r="A15" s="6"/>
      <c r="B15" s="223" t="str">
        <f>"(in "&amp;J4&amp;")"</f>
        <v>(in HKD)</v>
      </c>
      <c r="C15" s="224" t="s">
        <v>234</v>
      </c>
      <c r="D15" s="87" t="s">
        <v>19</v>
      </c>
      <c r="E15" s="135"/>
      <c r="F15" s="59" t="s">
        <v>22</v>
      </c>
      <c r="H15" s="352" t="s">
        <v>21</v>
      </c>
      <c r="I15" s="87" t="s">
        <v>323</v>
      </c>
      <c r="J15" s="87" t="s">
        <v>20</v>
      </c>
    </row>
    <row r="16" spans="1:12" ht="15.75" customHeight="1">
      <c r="B16" s="127">
        <f>I4</f>
        <v>9.6999999999999993</v>
      </c>
      <c r="C16" s="404">
        <v>0.25</v>
      </c>
      <c r="D16" s="155">
        <f ca="1">I37/B16-(1+J27)</f>
        <v>-3.5184231880642791E-2</v>
      </c>
      <c r="E16" s="395" t="s">
        <v>23</v>
      </c>
      <c r="F16" s="422">
        <f>('FCFF Model'!G16)*Exchange_Rate</f>
        <v>5.902449981989065</v>
      </c>
      <c r="G16" s="395" t="s">
        <v>24</v>
      </c>
      <c r="H16" s="353">
        <f>B16-$F$16</f>
        <v>3.7975500180109343</v>
      </c>
      <c r="I16" s="390">
        <v>0.42</v>
      </c>
      <c r="J16" s="157">
        <f>I16/B16</f>
        <v>4.3298969072164947E-2</v>
      </c>
    </row>
    <row r="17" spans="1:10" ht="15.75" customHeight="1">
      <c r="B17" s="267">
        <f ca="1">(I37+I38)/2</f>
        <v>10.581367742939435</v>
      </c>
      <c r="C17" s="405"/>
      <c r="D17" s="266">
        <f ca="1">I37/B17-(1+J27)</f>
        <v>-0.13220675953758554</v>
      </c>
      <c r="E17" s="396"/>
      <c r="F17" s="423"/>
      <c r="G17" s="396"/>
      <c r="H17" s="354">
        <f ca="1">B17-$F$16</f>
        <v>4.6789177609503696</v>
      </c>
      <c r="I17" s="391"/>
      <c r="J17" s="158">
        <f ca="1">I16/B17</f>
        <v>3.9692411246197434E-2</v>
      </c>
    </row>
    <row r="18" spans="1:10" ht="15.75" customHeight="1">
      <c r="B18" s="321">
        <f>C37</f>
        <v>9.1999999999999993</v>
      </c>
      <c r="C18" s="406"/>
      <c r="D18" s="156">
        <f ca="1">I37/B18-(1+J27)</f>
        <v>2.8120972908452835E-2</v>
      </c>
      <c r="E18" s="397"/>
      <c r="F18" s="424"/>
      <c r="G18" s="397"/>
      <c r="H18" s="355">
        <f>B18-$F$16</f>
        <v>3.2975500180109343</v>
      </c>
      <c r="I18" s="392"/>
      <c r="J18" s="159">
        <f>I16/B18</f>
        <v>4.5652173913043478E-2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68" t="s">
        <v>309</v>
      </c>
      <c r="E20" s="248" t="s">
        <v>247</v>
      </c>
      <c r="G20" s="6"/>
      <c r="H20" s="6"/>
      <c r="I20" s="323"/>
    </row>
    <row r="21" spans="1:10" ht="15.75" customHeight="1">
      <c r="A21" s="6"/>
      <c r="B21" s="24" t="s">
        <v>26</v>
      </c>
      <c r="C21" s="415" t="s">
        <v>318</v>
      </c>
      <c r="D21" s="416"/>
      <c r="E21" s="416"/>
      <c r="F21" s="416"/>
      <c r="G21" s="416"/>
      <c r="H21" s="416"/>
      <c r="I21" s="416"/>
      <c r="J21" s="417"/>
    </row>
    <row r="22" spans="1:10" ht="52.5" customHeight="1">
      <c r="A22" s="6"/>
      <c r="B22" s="24" t="s">
        <v>27</v>
      </c>
      <c r="C22" s="426" t="s">
        <v>319</v>
      </c>
      <c r="D22" s="427"/>
      <c r="E22" s="427"/>
      <c r="F22" s="427"/>
      <c r="G22" s="426" t="s">
        <v>351</v>
      </c>
      <c r="H22" s="426"/>
      <c r="I22" s="427"/>
      <c r="J22" s="427"/>
    </row>
    <row r="23" spans="1:10" ht="52.5" customHeight="1">
      <c r="A23" s="6"/>
      <c r="B23" s="24" t="s">
        <v>28</v>
      </c>
      <c r="C23" s="393" t="s">
        <v>320</v>
      </c>
      <c r="D23" s="394"/>
      <c r="E23" s="394"/>
      <c r="F23" s="394"/>
      <c r="G23" s="393" t="s">
        <v>321</v>
      </c>
      <c r="H23" s="393"/>
      <c r="I23" s="394"/>
      <c r="J23" s="394"/>
    </row>
    <row r="24" spans="1:10" ht="52.5" customHeight="1">
      <c r="A24" s="6"/>
      <c r="B24" s="24" t="s">
        <v>353</v>
      </c>
      <c r="C24" s="432" t="s">
        <v>362</v>
      </c>
      <c r="D24" s="433"/>
      <c r="E24" s="433"/>
      <c r="F24" s="433"/>
      <c r="G24" s="433"/>
      <c r="H24" s="433"/>
      <c r="I24" s="433"/>
      <c r="J24" s="434"/>
    </row>
    <row r="25" spans="1:10" ht="52.5" customHeight="1">
      <c r="A25" s="6"/>
      <c r="B25" s="361" t="s">
        <v>352</v>
      </c>
      <c r="C25" s="435" t="s">
        <v>363</v>
      </c>
      <c r="D25" s="436"/>
      <c r="E25" s="436"/>
      <c r="F25" s="436"/>
      <c r="G25" s="436"/>
      <c r="H25" s="436"/>
      <c r="I25" s="436"/>
      <c r="J25" s="437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57" t="s">
        <v>346</v>
      </c>
      <c r="I27" s="29"/>
      <c r="J27" s="358">
        <v>0.2</v>
      </c>
    </row>
    <row r="28" spans="1:10" ht="15.75" customHeight="1">
      <c r="B28" s="23" t="s">
        <v>31</v>
      </c>
      <c r="C28" s="413">
        <v>44970</v>
      </c>
      <c r="D28" s="414"/>
      <c r="E28" s="401" t="str">
        <f>IF(C28="","","Action_Planning")</f>
        <v>Action_Planning</v>
      </c>
      <c r="F28" s="402"/>
      <c r="G28" s="402"/>
      <c r="H28" s="403"/>
      <c r="I28" s="425" t="s">
        <v>32</v>
      </c>
      <c r="J28" s="425"/>
    </row>
    <row r="29" spans="1:10" ht="15.75" customHeight="1">
      <c r="B29" s="23" t="s">
        <v>33</v>
      </c>
      <c r="C29" s="389">
        <f>C33/D27</f>
        <v>0.14975757575757576</v>
      </c>
      <c r="D29" s="380"/>
      <c r="E29" s="388">
        <f>E33/D27</f>
        <v>0.1393939393939394</v>
      </c>
      <c r="F29" s="380"/>
      <c r="G29" s="399">
        <f>G33/D27</f>
        <v>0</v>
      </c>
      <c r="H29" s="400"/>
      <c r="I29" s="398">
        <f>C29+E29+G29</f>
        <v>0.28915151515151516</v>
      </c>
      <c r="J29" s="398"/>
    </row>
    <row r="30" spans="1:10" ht="15.75" customHeight="1">
      <c r="B30" s="23" t="s">
        <v>34</v>
      </c>
      <c r="C30" s="370">
        <v>10000</v>
      </c>
      <c r="D30" s="371"/>
      <c r="E30" s="370">
        <v>10000</v>
      </c>
      <c r="F30" s="371"/>
      <c r="G30" s="383"/>
      <c r="H30" s="384"/>
      <c r="I30" s="407">
        <f>C30+E30+G30</f>
        <v>20000</v>
      </c>
      <c r="J30" s="407"/>
    </row>
    <row r="31" spans="1:10" ht="15.75" customHeight="1">
      <c r="B31" s="23" t="s">
        <v>35</v>
      </c>
      <c r="C31" s="372">
        <v>9.8840000000000003</v>
      </c>
      <c r="D31" s="371"/>
      <c r="E31" s="372">
        <v>9.1999999999999993</v>
      </c>
      <c r="F31" s="371"/>
      <c r="G31" s="386">
        <v>8.6</v>
      </c>
      <c r="H31" s="387"/>
      <c r="I31" s="385"/>
      <c r="J31" s="385"/>
    </row>
    <row r="32" spans="1:10" ht="15.75" customHeight="1">
      <c r="B32" s="23" t="s">
        <v>36</v>
      </c>
      <c r="C32" s="373">
        <f>C31*$I$5/1000000</f>
        <v>80770.861287423992</v>
      </c>
      <c r="D32" s="374"/>
      <c r="E32" s="373">
        <f>E31*$I$5/1000000</f>
        <v>75181.295411200001</v>
      </c>
      <c r="F32" s="374"/>
      <c r="G32" s="445">
        <f>G31*$I$5/1000000</f>
        <v>70278.167449599991</v>
      </c>
      <c r="H32" s="446"/>
      <c r="I32" s="449"/>
      <c r="J32" s="449"/>
    </row>
    <row r="33" spans="2:11" ht="15.75" customHeight="1">
      <c r="B33" s="2" t="s">
        <v>37</v>
      </c>
      <c r="C33" s="375">
        <f>C30*C31</f>
        <v>98840</v>
      </c>
      <c r="D33" s="376"/>
      <c r="E33" s="377">
        <f>E30*E31</f>
        <v>92000</v>
      </c>
      <c r="F33" s="378"/>
      <c r="G33" s="447">
        <f>G30*G31</f>
        <v>0</v>
      </c>
      <c r="H33" s="448"/>
      <c r="I33" s="377">
        <f>C33+E33+G33</f>
        <v>190840</v>
      </c>
      <c r="J33" s="377"/>
    </row>
    <row r="34" spans="2:11" ht="15.75" customHeight="1">
      <c r="B34" s="1" t="s">
        <v>38</v>
      </c>
      <c r="C34" s="450"/>
      <c r="D34" s="451"/>
      <c r="E34" s="379">
        <f>IF(C33=0,"-",(C33+E33)/(C30+E30))</f>
        <v>9.5419999999999998</v>
      </c>
      <c r="F34" s="380"/>
      <c r="G34" s="114"/>
      <c r="H34" s="114"/>
      <c r="I34" s="379">
        <f>IF(I33=0,"",I33/I30)</f>
        <v>9.5419999999999998</v>
      </c>
      <c r="J34" s="379"/>
    </row>
    <row r="35" spans="2:11" ht="15.75" customHeight="1">
      <c r="B35" s="1" t="s">
        <v>39</v>
      </c>
      <c r="C35" s="452"/>
      <c r="D35" s="453"/>
      <c r="E35" s="373">
        <f>IF(E34="-","-",E34*$I$5/1000000)</f>
        <v>77976.078349311996</v>
      </c>
      <c r="F35" s="374"/>
      <c r="G35" s="115"/>
      <c r="H35" s="115"/>
      <c r="I35" s="373">
        <f>IF(I34="","",I34*$I$5/1000000)</f>
        <v>77976.078349311996</v>
      </c>
      <c r="J35" s="373"/>
    </row>
    <row r="36" spans="2:11" ht="15.75" customHeight="1"/>
    <row r="37" spans="2:11" ht="15.75" customHeight="1">
      <c r="B37" s="142" t="s">
        <v>288</v>
      </c>
      <c r="C37" s="441">
        <f>E31</f>
        <v>9.1999999999999993</v>
      </c>
      <c r="D37" s="442"/>
      <c r="G37" s="438" t="s">
        <v>334</v>
      </c>
      <c r="H37" s="438"/>
      <c r="I37" s="439">
        <f ca="1">'FCFF Model'!C31</f>
        <v>11.298712950757764</v>
      </c>
      <c r="J37" s="440"/>
    </row>
    <row r="38" spans="2:11" ht="15.75" customHeight="1">
      <c r="B38" s="142" t="s">
        <v>335</v>
      </c>
      <c r="C38" s="441">
        <f>E34</f>
        <v>9.5419999999999998</v>
      </c>
      <c r="D38" s="442"/>
      <c r="G38" s="443" t="s">
        <v>332</v>
      </c>
      <c r="H38" s="444"/>
      <c r="I38" s="439">
        <f ca="1">'FCFF Model'!C32</f>
        <v>9.8640225351211033</v>
      </c>
      <c r="J38" s="440"/>
    </row>
    <row r="39" spans="2:11" ht="15.75" customHeight="1"/>
    <row r="40" spans="2:11" ht="15.75" customHeight="1">
      <c r="B40" s="21" t="s">
        <v>298</v>
      </c>
      <c r="G40" s="317" t="s">
        <v>134</v>
      </c>
      <c r="H40" s="129"/>
      <c r="I40" s="129"/>
      <c r="J40" s="129"/>
      <c r="K40" s="322"/>
    </row>
    <row r="41" spans="2:11" ht="15.75" customHeight="1">
      <c r="B41" s="3" t="s">
        <v>301</v>
      </c>
      <c r="F41" s="206">
        <f>'Qualitative Analysis'!E8</f>
        <v>0.58000000000000007</v>
      </c>
      <c r="G41" s="329"/>
      <c r="H41" s="113"/>
      <c r="I41" s="113"/>
      <c r="J41" s="113"/>
    </row>
    <row r="42" spans="2:11" ht="15.75" customHeight="1">
      <c r="B42" s="3" t="s">
        <v>300</v>
      </c>
      <c r="F42" s="206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307</v>
      </c>
      <c r="F43" s="327">
        <f>'Qualitative Analysis'!E64</f>
        <v>0.48680272108843536</v>
      </c>
      <c r="G43" s="329" t="s">
        <v>299</v>
      </c>
      <c r="H43" s="113"/>
      <c r="I43" s="113"/>
      <c r="J43" s="113"/>
    </row>
    <row r="44" spans="2:11" ht="15.75" customHeight="1">
      <c r="B44" s="3" t="s">
        <v>343</v>
      </c>
      <c r="F44" s="330">
        <f>AVERAGE(80%*0.5,0.6)</f>
        <v>0.5</v>
      </c>
      <c r="G44" s="72" t="s">
        <v>302</v>
      </c>
      <c r="H44" s="72"/>
      <c r="I44" s="72"/>
      <c r="J44" s="72"/>
    </row>
    <row r="45" spans="2:11" ht="15.75" customHeight="1">
      <c r="G45" s="113"/>
      <c r="H45" s="113"/>
      <c r="I45" s="113"/>
      <c r="J45" s="113"/>
    </row>
    <row r="46" spans="2:11" ht="15.75" customHeight="1">
      <c r="E46" s="256" t="s">
        <v>337</v>
      </c>
      <c r="F46" s="256" t="s">
        <v>338</v>
      </c>
    </row>
    <row r="47" spans="2:11" ht="15.75" customHeight="1">
      <c r="B47" s="3" t="s">
        <v>303</v>
      </c>
      <c r="E47" s="327">
        <f ca="1">I37/C31-1</f>
        <v>0.14313162188969697</v>
      </c>
      <c r="F47" s="330">
        <f ca="1">I37/C38-1</f>
        <v>0.18410322267425738</v>
      </c>
      <c r="J47" s="359"/>
    </row>
    <row r="48" spans="2:11" ht="15.75" customHeight="1">
      <c r="B48" s="3" t="s">
        <v>304</v>
      </c>
      <c r="E48" s="327">
        <f ca="1">'FCFF Model'!C32/C31-1</f>
        <v>-2.0211923187876124E-3</v>
      </c>
      <c r="F48" s="330">
        <f ca="1">'FCFF Model'!C32/C38-1</f>
        <v>3.3747907684039458E-2</v>
      </c>
    </row>
    <row r="49" spans="2:9" ht="15.75" customHeight="1"/>
    <row r="50" spans="2:9" ht="15.75" customHeight="1">
      <c r="B50" s="3" t="s">
        <v>306</v>
      </c>
      <c r="E50" s="351">
        <f ca="1">IF(E47&lt;=0,0,AVERAGE(F41:F43,1-F44,E47/J27))</f>
        <v>0.61649216610738411</v>
      </c>
      <c r="F50" s="327">
        <f ca="1">IF(F47&lt;=0,0,AVERAGE(F41:F43,1-F44,F47/J27))</f>
        <v>0.65746376689194452</v>
      </c>
      <c r="G50" s="72"/>
    </row>
    <row r="51" spans="2:9" ht="15.75" customHeight="1">
      <c r="B51" s="3" t="s">
        <v>305</v>
      </c>
      <c r="D51" s="324"/>
      <c r="E51" s="326">
        <f ca="1">IF(E48&gt;=0,100,E47/ABS(E48))</f>
        <v>70.815439262876637</v>
      </c>
      <c r="F51" s="326">
        <f ca="1">IF(F48&gt;=0,100,F47/ABS(F48))</f>
        <v>100</v>
      </c>
      <c r="G51" s="72"/>
    </row>
    <row r="52" spans="2:9" ht="15.75" customHeight="1">
      <c r="B52" s="3" t="s">
        <v>344</v>
      </c>
      <c r="E52" s="356">
        <f ca="1">MAX(J27*2/E47,1)</f>
        <v>2.7946305276150385</v>
      </c>
      <c r="F52" s="356">
        <f ca="1">MAX(J27*2/F47,1)</f>
        <v>2.1726941776991002</v>
      </c>
      <c r="G52" s="328"/>
      <c r="H52" s="83"/>
      <c r="I52" s="83"/>
    </row>
    <row r="53" spans="2:9" ht="15.75" customHeight="1">
      <c r="B53" s="3" t="s">
        <v>345</v>
      </c>
      <c r="E53" s="325">
        <f ca="1">MIN(MAX(E50-ABS((1-E50)/E51),0)/E52,H53)</f>
        <v>0.21866095132295929</v>
      </c>
      <c r="F53" s="325">
        <f ca="1">MIN(MAX(F50-ABS((1-F50)/F51),0)/F52,H53)</f>
        <v>0.30102644508096194</v>
      </c>
      <c r="G53" s="328" t="s">
        <v>308</v>
      </c>
      <c r="H53" s="76">
        <v>0.4</v>
      </c>
    </row>
    <row r="54" spans="2:9" ht="15.75" customHeight="1"/>
    <row r="55" spans="2:9" ht="15.75" customHeight="1">
      <c r="B55" s="21" t="s">
        <v>312</v>
      </c>
    </row>
    <row r="56" spans="2:9" ht="15.75" customHeight="1">
      <c r="B56" s="360" t="s">
        <v>313</v>
      </c>
    </row>
    <row r="57" spans="2:9" ht="15.75" customHeight="1">
      <c r="B57" s="3" t="s">
        <v>348</v>
      </c>
    </row>
    <row r="58" spans="2:9" ht="15.75" customHeight="1">
      <c r="B58" s="3" t="s">
        <v>347</v>
      </c>
    </row>
    <row r="59" spans="2:9" ht="15.75" customHeight="1"/>
    <row r="60" spans="2:9" ht="15.75" customHeight="1">
      <c r="B60" s="360" t="s">
        <v>314</v>
      </c>
    </row>
    <row r="61" spans="2:9" ht="15.75" customHeight="1">
      <c r="B61" s="3" t="s">
        <v>349</v>
      </c>
    </row>
    <row r="62" spans="2:9" ht="15.75" customHeight="1">
      <c r="B62" s="3" t="s">
        <v>350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7:D38">
    <cfRule type="containsBlanks" priority="3">
      <formula>LEN(TRIM(C37))=0</formula>
    </cfRule>
  </conditionalFormatting>
  <conditionalFormatting sqref="C28:E28 I28 C30:G31 I30:I31">
    <cfRule type="containsBlanks" priority="27">
      <formula>LEN(TRIM(C28))=0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51:F51">
    <cfRule type="cellIs" dxfId="14" priority="2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3" priority="11">
      <formula>LEN(TRIM(E28))=0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7:J38">
    <cfRule type="containsBlanks" priority="5">
      <formula>LEN(TRIM(I37))=0</formula>
    </cfRule>
  </conditionalFormatting>
  <conditionalFormatting sqref="K40">
    <cfRule type="containsBlanks" priority="12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22" zoomScaleNormal="100" workbookViewId="0">
      <selection activeCell="D31" sqref="D3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5">
        <v>44742</v>
      </c>
      <c r="D3" s="6"/>
      <c r="E3" s="175">
        <v>1</v>
      </c>
      <c r="F3" s="173">
        <f t="array" ref="F3">AVERAGE(C19:INDEX(C19:M19,1,E3))</f>
        <v>5735396</v>
      </c>
      <c r="G3" s="6"/>
      <c r="H3" s="5"/>
      <c r="I3" s="6"/>
      <c r="J3" s="170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4">
        <f>AVERAGE(C16:INDEX(C16:M16,1,E4))</f>
        <v>7384827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60">
        <f>C3</f>
        <v>44742</v>
      </c>
      <c r="D6" s="261">
        <f>EOMONTH(EDATE(C6,-12),0)</f>
        <v>44377</v>
      </c>
      <c r="E6" s="261">
        <f t="shared" ref="E6:M6" si="0">EOMONTH(EDATE(D6,-12),0)</f>
        <v>44012</v>
      </c>
      <c r="F6" s="261">
        <f t="shared" si="0"/>
        <v>43646</v>
      </c>
      <c r="G6" s="261">
        <f t="shared" si="0"/>
        <v>43281</v>
      </c>
      <c r="H6" s="261">
        <f t="shared" si="0"/>
        <v>42916</v>
      </c>
      <c r="I6" s="261">
        <f t="shared" si="0"/>
        <v>42551</v>
      </c>
      <c r="J6" s="261">
        <f t="shared" si="0"/>
        <v>42185</v>
      </c>
      <c r="K6" s="261">
        <f t="shared" si="0"/>
        <v>41820</v>
      </c>
      <c r="L6" s="261">
        <f t="shared" si="0"/>
        <v>41455</v>
      </c>
      <c r="M6" s="261">
        <f t="shared" si="0"/>
        <v>41090</v>
      </c>
    </row>
    <row r="7" spans="1:14" ht="15.75" customHeight="1">
      <c r="A7" s="9"/>
      <c r="B7" s="42" t="s">
        <v>43</v>
      </c>
      <c r="C7" s="34">
        <v>15554174</v>
      </c>
      <c r="D7" s="34">
        <v>24545345</v>
      </c>
      <c r="E7" s="34">
        <v>5886888</v>
      </c>
      <c r="F7" s="34">
        <v>8009912</v>
      </c>
      <c r="G7" s="34"/>
      <c r="H7" s="34"/>
      <c r="I7" s="34"/>
      <c r="J7" s="34"/>
      <c r="K7" s="34"/>
      <c r="L7" s="34"/>
      <c r="M7" s="227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2"/>
      <c r="N8" s="6"/>
    </row>
    <row r="9" spans="1:14" ht="15.75" customHeight="1">
      <c r="A9" s="9"/>
      <c r="B9" s="43" t="s">
        <v>45</v>
      </c>
      <c r="C9" s="34">
        <v>7301864</v>
      </c>
      <c r="D9" s="34">
        <v>11010749</v>
      </c>
      <c r="E9" s="34">
        <v>2437232</v>
      </c>
      <c r="F9" s="34">
        <v>3519324</v>
      </c>
      <c r="G9" s="34"/>
      <c r="H9" s="34"/>
      <c r="I9" s="34"/>
      <c r="J9" s="34"/>
      <c r="K9" s="34"/>
      <c r="L9" s="34"/>
      <c r="M9" s="227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2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867483</v>
      </c>
      <c r="D11" s="34">
        <v>823281</v>
      </c>
      <c r="E11" s="34">
        <v>843993</v>
      </c>
      <c r="F11" s="34">
        <v>932270</v>
      </c>
      <c r="G11" s="34"/>
      <c r="H11" s="34"/>
      <c r="I11" s="34"/>
      <c r="J11" s="34"/>
      <c r="K11" s="34"/>
      <c r="L11" s="34"/>
      <c r="M11" s="227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2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2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7384827</v>
      </c>
      <c r="D14" s="26">
        <f t="shared" si="5"/>
        <v>12711315</v>
      </c>
      <c r="E14" s="26">
        <f t="shared" si="5"/>
        <v>2605663</v>
      </c>
      <c r="F14" s="26">
        <f t="shared" si="5"/>
        <v>3558318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8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2" t="str">
        <f t="shared" si="6"/>
        <v/>
      </c>
      <c r="N15" s="6"/>
    </row>
    <row r="16" spans="1:14" ht="15.75" customHeight="1">
      <c r="A16" s="9"/>
      <c r="B16" s="43" t="s">
        <v>52</v>
      </c>
      <c r="C16" s="139">
        <f>IF(C14="","",C14*(1-Operation!$D$18))</f>
        <v>7384827</v>
      </c>
      <c r="D16" s="139">
        <f>IF(D14="","",D14*(1-Operation!$D$18))</f>
        <v>12711315</v>
      </c>
      <c r="E16" s="139">
        <f>IF(E14="","",E14*(1-Operation!$D$18))</f>
        <v>2605663</v>
      </c>
      <c r="F16" s="139">
        <f>IF(F14="","",F14*(1-Operation!$D$18))</f>
        <v>3558318</v>
      </c>
      <c r="G16" s="139" t="str">
        <f>IF(G14="","",G14*(1-Operation!$D$18))</f>
        <v/>
      </c>
      <c r="H16" s="139" t="str">
        <f>IF(H14="","",H14*(1-Operation!$D$18))</f>
        <v/>
      </c>
      <c r="I16" s="139" t="str">
        <f>IF(I14="","",I14*(1-Operation!$D$18))</f>
        <v/>
      </c>
      <c r="J16" s="139" t="str">
        <f>IF(J14="","",J14*(1-Operation!$D$18))</f>
        <v/>
      </c>
      <c r="K16" s="139" t="str">
        <f>IF(K14="","",K14*(1-Operation!$D$18))</f>
        <v/>
      </c>
      <c r="L16" s="139" t="str">
        <f>IF(L14="","",L14*(1-Operation!$D$18))</f>
        <v/>
      </c>
      <c r="M16" s="229" t="str">
        <f>IF(M14="","",M14*(1-Operation!$D$18))</f>
        <v/>
      </c>
      <c r="N16" s="6"/>
    </row>
    <row r="17" spans="1:14" ht="15.75" customHeight="1">
      <c r="A17" s="9"/>
      <c r="B17" s="138" t="s">
        <v>53</v>
      </c>
      <c r="C17" s="125">
        <f t="shared" ref="C17:M17" si="7">IF(C7="","",C16/C7)</f>
        <v>0.47478104591089182</v>
      </c>
      <c r="D17" s="125">
        <f t="shared" si="7"/>
        <v>0.51787070012664316</v>
      </c>
      <c r="E17" s="125">
        <f t="shared" si="7"/>
        <v>0.44262146655414542</v>
      </c>
      <c r="F17" s="125">
        <f t="shared" si="7"/>
        <v>0.44423933746088595</v>
      </c>
      <c r="G17" s="125" t="str">
        <f t="shared" si="7"/>
        <v/>
      </c>
      <c r="H17" s="125" t="str">
        <f t="shared" si="7"/>
        <v/>
      </c>
      <c r="I17" s="125" t="str">
        <f t="shared" si="7"/>
        <v/>
      </c>
      <c r="J17" s="125" t="str">
        <f t="shared" si="7"/>
        <v/>
      </c>
      <c r="K17" s="125" t="str">
        <f t="shared" si="7"/>
        <v/>
      </c>
      <c r="L17" s="125" t="str">
        <f t="shared" si="7"/>
        <v/>
      </c>
      <c r="M17" s="230" t="str">
        <f t="shared" si="7"/>
        <v/>
      </c>
      <c r="N17" s="6"/>
    </row>
    <row r="18" spans="1:14" ht="15.75" customHeight="1">
      <c r="A18" s="9"/>
      <c r="B18" s="43" t="s">
        <v>241</v>
      </c>
      <c r="C18" s="140">
        <v>27282</v>
      </c>
      <c r="D18" s="140">
        <v>39885</v>
      </c>
      <c r="E18" s="140">
        <v>31747</v>
      </c>
      <c r="F18" s="140">
        <v>60128</v>
      </c>
      <c r="G18" s="140"/>
      <c r="H18" s="140"/>
      <c r="I18" s="140"/>
      <c r="J18" s="140"/>
      <c r="K18" s="140"/>
      <c r="L18" s="140"/>
      <c r="M18" s="231"/>
      <c r="N18" s="6"/>
    </row>
    <row r="19" spans="1:14" ht="15.75" customHeight="1">
      <c r="A19" s="9"/>
      <c r="B19" s="43" t="s">
        <v>54</v>
      </c>
      <c r="C19" s="34">
        <v>5735396</v>
      </c>
      <c r="D19" s="34">
        <v>9646036</v>
      </c>
      <c r="E19" s="34">
        <v>1688050</v>
      </c>
      <c r="F19" s="34">
        <v>6914903</v>
      </c>
      <c r="G19" s="34"/>
      <c r="H19" s="34"/>
      <c r="I19" s="34"/>
      <c r="J19" s="34"/>
      <c r="K19" s="34"/>
      <c r="L19" s="34"/>
      <c r="M19" s="227"/>
      <c r="N19" s="6"/>
    </row>
    <row r="20" spans="1:14" ht="15.75" customHeight="1">
      <c r="A20" s="9"/>
      <c r="B20" s="43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2" t="str">
        <f t="shared" si="8"/>
        <v/>
      </c>
      <c r="N20" s="6"/>
    </row>
    <row r="21" spans="1:14" ht="15.75" customHeight="1">
      <c r="A21" s="9"/>
      <c r="B21" s="43" t="s">
        <v>55</v>
      </c>
      <c r="C21" s="172">
        <v>71424985</v>
      </c>
      <c r="D21" s="34">
        <v>74808371</v>
      </c>
      <c r="E21" s="34">
        <v>80391448</v>
      </c>
      <c r="F21" s="34">
        <v>74544144</v>
      </c>
      <c r="G21" s="34"/>
      <c r="H21" s="34"/>
      <c r="I21" s="34"/>
      <c r="J21" s="34"/>
      <c r="K21" s="34"/>
      <c r="L21" s="34"/>
      <c r="M21" s="227"/>
      <c r="N21" s="6"/>
    </row>
    <row r="22" spans="1:14" ht="15.75" customHeight="1">
      <c r="A22" s="9"/>
      <c r="B22" s="43" t="s">
        <v>56</v>
      </c>
      <c r="C22" s="172">
        <v>15104618</v>
      </c>
      <c r="D22" s="34">
        <v>17965728</v>
      </c>
      <c r="E22" s="34">
        <v>32319376</v>
      </c>
      <c r="F22" s="34">
        <v>25385564</v>
      </c>
      <c r="G22" s="34"/>
      <c r="H22" s="34"/>
      <c r="I22" s="34"/>
      <c r="J22" s="34"/>
      <c r="K22" s="34"/>
      <c r="L22" s="34"/>
      <c r="M22" s="227"/>
      <c r="N22" s="6"/>
    </row>
    <row r="23" spans="1:14" ht="15.5" customHeight="1">
      <c r="A23" s="9"/>
      <c r="B23" s="43" t="s">
        <v>57</v>
      </c>
      <c r="C23" s="172">
        <v>2284708</v>
      </c>
      <c r="D23" s="34">
        <v>2894189</v>
      </c>
      <c r="E23" s="34">
        <v>864027</v>
      </c>
      <c r="F23" s="34">
        <v>0</v>
      </c>
      <c r="G23" s="34"/>
      <c r="H23" s="34"/>
      <c r="I23" s="34"/>
      <c r="J23" s="34"/>
      <c r="K23" s="34"/>
      <c r="L23" s="34"/>
      <c r="M23" s="227"/>
      <c r="N23" s="6"/>
    </row>
    <row r="24" spans="1:14" ht="15.75" customHeight="1">
      <c r="A24" s="9"/>
      <c r="B24" s="137" t="s">
        <v>58</v>
      </c>
      <c r="C24" s="254">
        <v>31180</v>
      </c>
      <c r="D24" s="136">
        <v>49241</v>
      </c>
      <c r="E24" s="136">
        <v>32031</v>
      </c>
      <c r="F24" s="136">
        <v>0</v>
      </c>
      <c r="G24" s="136"/>
      <c r="H24" s="136"/>
      <c r="I24" s="136"/>
      <c r="J24" s="136"/>
      <c r="K24" s="136"/>
      <c r="L24" s="136"/>
      <c r="M24" s="232"/>
      <c r="N24" s="6"/>
    </row>
    <row r="25" spans="1:14" ht="15.75" customHeight="1">
      <c r="A25" s="9"/>
      <c r="B25" s="43" t="s">
        <v>59</v>
      </c>
      <c r="C25" s="172">
        <v>2814396</v>
      </c>
      <c r="D25" s="34">
        <v>4131550</v>
      </c>
      <c r="E25" s="34">
        <v>6139127</v>
      </c>
      <c r="F25" s="34">
        <v>6755357</v>
      </c>
      <c r="G25" s="34"/>
      <c r="H25" s="34"/>
      <c r="I25" s="34"/>
      <c r="J25" s="34"/>
      <c r="K25" s="34"/>
      <c r="L25" s="34"/>
      <c r="M25" s="227"/>
      <c r="N25" s="6"/>
    </row>
    <row r="26" spans="1:14" ht="15.75" customHeight="1">
      <c r="A26" s="9"/>
      <c r="B26" s="137" t="s">
        <v>60</v>
      </c>
      <c r="C26" s="171">
        <v>13550</v>
      </c>
      <c r="D26" s="136">
        <v>19736</v>
      </c>
      <c r="E26" s="136">
        <v>7537</v>
      </c>
      <c r="F26" s="136">
        <v>0</v>
      </c>
      <c r="G26" s="136"/>
      <c r="H26" s="136"/>
      <c r="I26" s="136"/>
      <c r="J26" s="136"/>
      <c r="K26" s="136"/>
      <c r="L26" s="136"/>
      <c r="M26" s="232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5099104</v>
      </c>
      <c r="D27" s="26">
        <f t="shared" si="9"/>
        <v>7025739</v>
      </c>
      <c r="E27" s="26">
        <f t="shared" si="9"/>
        <v>7003154</v>
      </c>
      <c r="F27" s="26">
        <f t="shared" si="9"/>
        <v>6755357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8" t="str">
        <f t="shared" si="9"/>
        <v/>
      </c>
      <c r="N27" s="6"/>
    </row>
    <row r="28" spans="1:14" ht="15.75" customHeight="1">
      <c r="A28" s="9"/>
      <c r="B28" s="43" t="s">
        <v>62</v>
      </c>
      <c r="C28" s="172">
        <v>158228515</v>
      </c>
      <c r="D28" s="34">
        <v>156808599</v>
      </c>
      <c r="E28" s="34">
        <v>145759189</v>
      </c>
      <c r="F28" s="34">
        <v>146162104</v>
      </c>
      <c r="G28" s="34"/>
      <c r="H28" s="34"/>
      <c r="I28" s="34"/>
      <c r="J28" s="34"/>
      <c r="K28" s="34"/>
      <c r="L28" s="34"/>
      <c r="M28" s="227"/>
      <c r="N28" s="6"/>
    </row>
    <row r="29" spans="1:14" ht="15.75" customHeight="1">
      <c r="A29" s="9"/>
      <c r="B29" s="137" t="s">
        <v>203</v>
      </c>
      <c r="C29" s="171">
        <v>157397300</v>
      </c>
      <c r="D29" s="136">
        <v>155159697</v>
      </c>
      <c r="E29" s="136">
        <v>144915881</v>
      </c>
      <c r="F29" s="136">
        <v>145294012</v>
      </c>
      <c r="G29" s="136"/>
      <c r="H29" s="136"/>
      <c r="I29" s="136"/>
      <c r="J29" s="136"/>
      <c r="K29" s="136"/>
      <c r="L29" s="136"/>
      <c r="M29" s="232"/>
      <c r="N29" s="6"/>
    </row>
    <row r="30" spans="1:14" ht="15.75" customHeight="1">
      <c r="A30" s="9"/>
      <c r="B30" s="43" t="s">
        <v>63</v>
      </c>
      <c r="C30" s="172">
        <v>1285288</v>
      </c>
      <c r="D30" s="34">
        <v>1376283</v>
      </c>
      <c r="E30" s="34">
        <v>1367290</v>
      </c>
      <c r="F30" s="34">
        <v>219236</v>
      </c>
      <c r="G30" s="34"/>
      <c r="H30" s="34"/>
      <c r="I30" s="34"/>
      <c r="J30" s="34"/>
      <c r="K30" s="34"/>
      <c r="L30" s="34"/>
      <c r="M30" s="227"/>
      <c r="N30" s="6"/>
    </row>
    <row r="31" spans="1:14" ht="15.75" customHeight="1">
      <c r="A31" s="9"/>
      <c r="B31" s="43" t="s">
        <v>221</v>
      </c>
      <c r="C31" s="172">
        <v>17617776</v>
      </c>
      <c r="D31" s="34">
        <v>28578786</v>
      </c>
      <c r="E31" s="34">
        <v>23080979</v>
      </c>
      <c r="F31" s="34">
        <v>16439823</v>
      </c>
      <c r="G31" s="34"/>
      <c r="H31" s="34"/>
      <c r="I31" s="34"/>
      <c r="J31" s="34"/>
      <c r="K31" s="34"/>
      <c r="L31" s="34"/>
      <c r="M31" s="227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2" t="str">
        <f t="shared" si="10"/>
        <v/>
      </c>
      <c r="N32" s="6"/>
    </row>
    <row r="33" spans="1:14" ht="15.75" customHeight="1">
      <c r="A33" s="9"/>
      <c r="B33" s="43" t="s">
        <v>65</v>
      </c>
      <c r="C33" s="234">
        <f>IF(D7="","",(C7-D7)*Asset_Model!$D$65)</f>
        <v>-1348675.65</v>
      </c>
      <c r="D33" s="234">
        <f>IF(E7="","",(D7-E7)*Asset_Model!$D$65)</f>
        <v>2798768.55</v>
      </c>
      <c r="E33" s="234">
        <f>IF(F7="","",(E7-F7)*Asset_Model!$D$65)</f>
        <v>-318453.59999999998</v>
      </c>
      <c r="F33" s="234" t="str">
        <f>IF(G7="","",(F7-G7)*Asset_Model!$D$65)</f>
        <v/>
      </c>
      <c r="G33" s="234" t="str">
        <f>IF(H7="","",(G7-H7)*Asset_Model!$D$65)</f>
        <v/>
      </c>
      <c r="H33" s="234" t="str">
        <f>IF(I7="","",(H7-I7)*Asset_Model!$D$65)</f>
        <v/>
      </c>
      <c r="I33" s="234" t="str">
        <f>IF(J7="","",(I7-J7)*Asset_Model!$D$65)</f>
        <v/>
      </c>
      <c r="J33" s="234" t="str">
        <f>IF(K7="","",(J7-K7)*Asset_Model!$D$65)</f>
        <v/>
      </c>
      <c r="K33" s="234" t="str">
        <f>IF(L7="","",(K7-L7)*Asset_Model!$D$65)</f>
        <v/>
      </c>
      <c r="L33" s="234" t="str">
        <f>IF(M7="","",(L7-M7)*Asset_Model!$D$65)</f>
        <v/>
      </c>
      <c r="M33" s="235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9">
        <f t="shared" ref="C34:M34" si="11">IF(D7="","",C30-D30+C33+IF($C$55="Yes",C57,0))</f>
        <v>-1439670.65</v>
      </c>
      <c r="D34" s="139">
        <f t="shared" si="11"/>
        <v>2807761.55</v>
      </c>
      <c r="E34" s="139">
        <f t="shared" si="11"/>
        <v>829600.4</v>
      </c>
      <c r="F34" s="139" t="str">
        <f t="shared" si="11"/>
        <v/>
      </c>
      <c r="G34" s="139" t="str">
        <f t="shared" si="11"/>
        <v/>
      </c>
      <c r="H34" s="139" t="str">
        <f t="shared" si="11"/>
        <v/>
      </c>
      <c r="I34" s="139" t="str">
        <f t="shared" si="11"/>
        <v/>
      </c>
      <c r="J34" s="139" t="str">
        <f t="shared" si="11"/>
        <v/>
      </c>
      <c r="K34" s="139" t="str">
        <f t="shared" si="11"/>
        <v/>
      </c>
      <c r="L34" s="139" t="str">
        <f t="shared" si="11"/>
        <v/>
      </c>
      <c r="M34" s="316" t="str">
        <f t="shared" si="11"/>
        <v/>
      </c>
      <c r="N34" s="6"/>
    </row>
    <row r="35" spans="1:14" ht="15.75" customHeight="1">
      <c r="A35" s="9"/>
      <c r="B35" s="233" t="s">
        <v>360</v>
      </c>
      <c r="C35" s="225">
        <f t="shared" ref="C35:M35" si="12">IF(C34="","",C34/C16)</f>
        <v>-0.19494981399022615</v>
      </c>
      <c r="D35" s="225">
        <f t="shared" si="12"/>
        <v>0.22088678866033923</v>
      </c>
      <c r="E35" s="225">
        <f t="shared" si="12"/>
        <v>0.31838361292308331</v>
      </c>
      <c r="F35" s="225" t="str">
        <f t="shared" si="12"/>
        <v/>
      </c>
      <c r="G35" s="225" t="str">
        <f t="shared" si="12"/>
        <v/>
      </c>
      <c r="H35" s="225" t="str">
        <f t="shared" si="12"/>
        <v/>
      </c>
      <c r="I35" s="225" t="str">
        <f t="shared" si="12"/>
        <v/>
      </c>
      <c r="J35" s="225" t="str">
        <f t="shared" si="12"/>
        <v/>
      </c>
      <c r="K35" s="225" t="str">
        <f t="shared" si="12"/>
        <v/>
      </c>
      <c r="L35" s="225" t="str">
        <f t="shared" si="12"/>
        <v/>
      </c>
      <c r="M35" s="226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4" t="s">
        <v>242</v>
      </c>
      <c r="C37" s="161">
        <v>3053687</v>
      </c>
      <c r="D37" s="161">
        <v>508443</v>
      </c>
      <c r="E37" s="161">
        <v>1287845</v>
      </c>
      <c r="F37" s="161">
        <v>822878</v>
      </c>
      <c r="G37" s="161"/>
      <c r="H37" s="161"/>
      <c r="I37" s="161"/>
      <c r="J37" s="161"/>
      <c r="K37" s="161"/>
      <c r="L37" s="161"/>
      <c r="M37" s="162"/>
      <c r="N37" s="6"/>
    </row>
    <row r="38" spans="1:14" ht="15.75" customHeight="1">
      <c r="A38" s="9"/>
      <c r="B38" s="138" t="s">
        <v>68</v>
      </c>
      <c r="C38" s="160">
        <v>0</v>
      </c>
      <c r="D38" s="160">
        <v>0</v>
      </c>
      <c r="E38" s="160">
        <v>0</v>
      </c>
      <c r="F38" s="160">
        <v>0</v>
      </c>
      <c r="G38" s="160"/>
      <c r="H38" s="160"/>
      <c r="I38" s="160"/>
      <c r="J38" s="160"/>
      <c r="K38" s="160"/>
      <c r="L38" s="160"/>
      <c r="M38" s="163"/>
      <c r="N38" s="6"/>
    </row>
    <row r="39" spans="1:14" ht="15.75" customHeight="1">
      <c r="A39" s="9"/>
      <c r="B39" s="138" t="s">
        <v>199</v>
      </c>
      <c r="C39" s="166">
        <f t="shared" ref="C39:M39" si="13">IF(C37="","",C37*$C$4/Common_Shares)</f>
        <v>0.37368231348424941</v>
      </c>
      <c r="D39" s="166">
        <f t="shared" si="13"/>
        <v>6.2218608690043288E-2</v>
      </c>
      <c r="E39" s="166">
        <f t="shared" si="13"/>
        <v>0.15759470404436446</v>
      </c>
      <c r="F39" s="166">
        <f t="shared" si="13"/>
        <v>0.1006962909935734</v>
      </c>
      <c r="G39" s="166" t="str">
        <f t="shared" si="13"/>
        <v/>
      </c>
      <c r="H39" s="166" t="str">
        <f t="shared" si="13"/>
        <v/>
      </c>
      <c r="I39" s="166" t="str">
        <f t="shared" si="13"/>
        <v/>
      </c>
      <c r="J39" s="166" t="str">
        <f t="shared" si="13"/>
        <v/>
      </c>
      <c r="K39" s="166" t="str">
        <f t="shared" si="13"/>
        <v/>
      </c>
      <c r="L39" s="166" t="str">
        <f t="shared" si="13"/>
        <v/>
      </c>
      <c r="M39" s="167" t="str">
        <f t="shared" si="13"/>
        <v/>
      </c>
      <c r="N39" s="6"/>
    </row>
    <row r="40" spans="1:14" ht="15.75" customHeight="1">
      <c r="A40" s="9"/>
      <c r="B40" s="165" t="s">
        <v>200</v>
      </c>
      <c r="C40" s="168">
        <f t="shared" ref="C40:M40" si="14">IF(C38="","",C38*$C$4/Common_Shares)</f>
        <v>0</v>
      </c>
      <c r="D40" s="168">
        <f t="shared" si="14"/>
        <v>0</v>
      </c>
      <c r="E40" s="168">
        <f t="shared" si="14"/>
        <v>0</v>
      </c>
      <c r="F40" s="168">
        <f t="shared" si="14"/>
        <v>0</v>
      </c>
      <c r="G40" s="168" t="str">
        <f t="shared" si="14"/>
        <v/>
      </c>
      <c r="H40" s="168" t="str">
        <f t="shared" si="14"/>
        <v/>
      </c>
      <c r="I40" s="168" t="str">
        <f t="shared" si="14"/>
        <v/>
      </c>
      <c r="J40" s="168" t="str">
        <f t="shared" si="14"/>
        <v/>
      </c>
      <c r="K40" s="168" t="str">
        <f t="shared" si="14"/>
        <v/>
      </c>
      <c r="L40" s="168" t="str">
        <f t="shared" si="14"/>
        <v/>
      </c>
      <c r="M40" s="169" t="str">
        <f t="shared" si="14"/>
        <v/>
      </c>
      <c r="N40" s="6"/>
    </row>
    <row r="41" spans="1:14" ht="15.75" customHeight="1">
      <c r="A41" s="9"/>
      <c r="B41" s="87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1.7786907751741209E-2</v>
      </c>
      <c r="D42" s="47">
        <f t="shared" ref="D42:M42" si="15">IF(D29="","",D25/D29)</f>
        <v>2.6627726657651309E-2</v>
      </c>
      <c r="E42" s="47">
        <f t="shared" si="15"/>
        <v>4.236338320987746E-2</v>
      </c>
      <c r="F42" s="47">
        <f t="shared" si="15"/>
        <v>4.6494393726287907E-2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201" t="str">
        <f t="shared" si="15"/>
        <v/>
      </c>
      <c r="N42" s="6"/>
    </row>
    <row r="43" spans="1:14" ht="15.75" customHeight="1">
      <c r="A43" s="9"/>
      <c r="B43" s="43" t="s">
        <v>237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02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1.4482597334747438</v>
      </c>
      <c r="D44" s="49">
        <f t="shared" si="17"/>
        <v>1.8092495323267772</v>
      </c>
      <c r="E44" s="49">
        <f t="shared" si="17"/>
        <v>0.37206992734987693</v>
      </c>
      <c r="F44" s="49">
        <f t="shared" si="17"/>
        <v>0.52674018560381042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203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02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4.7286852934645554</v>
      </c>
      <c r="D46" s="50">
        <f t="shared" si="19"/>
        <v>4.1639487695683695</v>
      </c>
      <c r="E46" s="50">
        <f t="shared" si="19"/>
        <v>2.4874071826139219</v>
      </c>
      <c r="F46" s="50">
        <f t="shared" si="19"/>
        <v>2.9364777556252051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4" t="str">
        <f t="shared" si="19"/>
        <v/>
      </c>
      <c r="N46" s="6"/>
    </row>
    <row r="47" spans="1:14" ht="15.75" customHeight="1">
      <c r="A47" s="9"/>
      <c r="B47" s="369" t="s">
        <v>354</v>
      </c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  <c r="N47" s="6"/>
    </row>
    <row r="48" spans="1:14" ht="15.75" customHeight="1">
      <c r="A48" s="9"/>
      <c r="B48" s="164" t="s">
        <v>355</v>
      </c>
      <c r="C48" s="365">
        <f>C13</f>
        <v>0.47478104591089182</v>
      </c>
      <c r="D48" s="365">
        <f>D13</f>
        <v>0.51787070012664316</v>
      </c>
      <c r="E48" s="365">
        <f t="shared" ref="E48:M48" si="20">E13</f>
        <v>0.44262146655414542</v>
      </c>
      <c r="F48" s="365">
        <f t="shared" si="20"/>
        <v>0.44423933746088595</v>
      </c>
      <c r="G48" s="365" t="str">
        <f t="shared" si="20"/>
        <v/>
      </c>
      <c r="H48" s="365" t="str">
        <f t="shared" si="20"/>
        <v/>
      </c>
      <c r="I48" s="365" t="str">
        <f t="shared" si="20"/>
        <v/>
      </c>
      <c r="J48" s="365" t="str">
        <f t="shared" si="20"/>
        <v/>
      </c>
      <c r="K48" s="365" t="str">
        <f t="shared" si="20"/>
        <v/>
      </c>
      <c r="L48" s="365" t="str">
        <f t="shared" si="20"/>
        <v/>
      </c>
      <c r="M48" s="365" t="str">
        <f t="shared" si="20"/>
        <v/>
      </c>
      <c r="N48" s="6"/>
    </row>
    <row r="49" spans="1:14" ht="15.75" customHeight="1">
      <c r="A49" s="9"/>
      <c r="B49" s="138" t="s">
        <v>356</v>
      </c>
      <c r="C49" s="363">
        <f>C7/(C29+C21+C22)</f>
        <v>6.3765717551868398E-2</v>
      </c>
      <c r="D49" s="363">
        <f>IF(D7="","",D7/(D29+D21+D22))</f>
        <v>9.8999593423721874E-2</v>
      </c>
      <c r="E49" s="363">
        <f t="shared" ref="E49:M49" si="21">IF(E7="","",E7/(E29+E21+E22))</f>
        <v>2.2850457214829496E-2</v>
      </c>
      <c r="F49" s="363">
        <f t="shared" si="21"/>
        <v>3.2663691750537023E-2</v>
      </c>
      <c r="G49" s="363" t="str">
        <f t="shared" si="21"/>
        <v/>
      </c>
      <c r="H49" s="363" t="str">
        <f t="shared" si="21"/>
        <v/>
      </c>
      <c r="I49" s="363" t="str">
        <f t="shared" si="21"/>
        <v/>
      </c>
      <c r="J49" s="363" t="str">
        <f t="shared" si="21"/>
        <v/>
      </c>
      <c r="K49" s="363" t="str">
        <f t="shared" si="21"/>
        <v/>
      </c>
      <c r="L49" s="363" t="str">
        <f t="shared" si="21"/>
        <v/>
      </c>
      <c r="M49" s="363" t="str">
        <f t="shared" si="21"/>
        <v/>
      </c>
      <c r="N49" s="6"/>
    </row>
    <row r="50" spans="1:14" ht="15.75" customHeight="1">
      <c r="A50" s="9"/>
      <c r="B50" s="138" t="s">
        <v>357</v>
      </c>
      <c r="C50" s="364">
        <f>(C29+C21+C22)/C29</f>
        <v>1.5497527784784111</v>
      </c>
      <c r="D50" s="364">
        <f>IF(D29="","",(D29+D21+D22)/D29)</f>
        <v>1.5979265285623754</v>
      </c>
      <c r="E50" s="364">
        <f t="shared" ref="E50:M50" si="22">IF(E29="","",(E29+E21+E22)/E29)</f>
        <v>1.7777672344965421</v>
      </c>
      <c r="F50" s="364">
        <f t="shared" si="22"/>
        <v>1.6877758183179634</v>
      </c>
      <c r="G50" s="364" t="str">
        <f t="shared" si="22"/>
        <v/>
      </c>
      <c r="H50" s="364" t="str">
        <f t="shared" si="22"/>
        <v/>
      </c>
      <c r="I50" s="364" t="str">
        <f t="shared" si="22"/>
        <v/>
      </c>
      <c r="J50" s="364" t="str">
        <f t="shared" si="22"/>
        <v/>
      </c>
      <c r="K50" s="364" t="str">
        <f t="shared" si="22"/>
        <v/>
      </c>
      <c r="L50" s="364" t="str">
        <f t="shared" si="22"/>
        <v/>
      </c>
      <c r="M50" s="364" t="str">
        <f t="shared" si="22"/>
        <v/>
      </c>
      <c r="N50" s="6"/>
    </row>
    <row r="51" spans="1:14" ht="15.75" customHeight="1">
      <c r="A51" s="9"/>
      <c r="B51" s="138" t="s">
        <v>358</v>
      </c>
      <c r="C51" s="368">
        <f>C48*C49*C50</f>
        <v>4.6918384241661074E-2</v>
      </c>
      <c r="D51" s="368">
        <f>IF(D48="","",D48*D49*D50)</f>
        <v>8.1924077229926534E-2</v>
      </c>
      <c r="E51" s="368">
        <f t="shared" ref="E51:M51" si="23">IF(E48="","",E48*E49*E50)</f>
        <v>1.7980520713254334E-2</v>
      </c>
      <c r="F51" s="368">
        <f t="shared" si="23"/>
        <v>2.4490465580921533E-2</v>
      </c>
      <c r="G51" s="368" t="str">
        <f t="shared" si="23"/>
        <v/>
      </c>
      <c r="H51" s="368" t="str">
        <f t="shared" si="23"/>
        <v/>
      </c>
      <c r="I51" s="368" t="str">
        <f t="shared" si="23"/>
        <v/>
      </c>
      <c r="J51" s="368" t="str">
        <f t="shared" si="23"/>
        <v/>
      </c>
      <c r="K51" s="368" t="str">
        <f t="shared" si="23"/>
        <v/>
      </c>
      <c r="L51" s="368" t="str">
        <f t="shared" si="23"/>
        <v/>
      </c>
      <c r="M51" s="368" t="str">
        <f t="shared" si="23"/>
        <v/>
      </c>
      <c r="N51" s="6"/>
    </row>
    <row r="52" spans="1:14" ht="15.75" customHeight="1">
      <c r="A52" s="9"/>
      <c r="B52" s="366" t="s">
        <v>359</v>
      </c>
      <c r="C52" s="367">
        <f>C35*C51</f>
        <v>-9.1467302806337841E-3</v>
      </c>
      <c r="D52" s="367">
        <f>IF(D35="","",D35*D51)</f>
        <v>1.8095946333280093E-2</v>
      </c>
      <c r="E52" s="367">
        <f t="shared" ref="E52:M52" si="24">IF(E35="","",E35*E51)</f>
        <v>5.7247031469242499E-3</v>
      </c>
      <c r="F52" s="367" t="str">
        <f t="shared" si="24"/>
        <v/>
      </c>
      <c r="G52" s="367" t="str">
        <f t="shared" si="24"/>
        <v/>
      </c>
      <c r="H52" s="367" t="str">
        <f t="shared" si="24"/>
        <v/>
      </c>
      <c r="I52" s="367" t="str">
        <f t="shared" si="24"/>
        <v/>
      </c>
      <c r="J52" s="367" t="str">
        <f t="shared" si="24"/>
        <v/>
      </c>
      <c r="K52" s="367" t="str">
        <f t="shared" si="24"/>
        <v/>
      </c>
      <c r="L52" s="367" t="str">
        <f t="shared" si="24"/>
        <v/>
      </c>
      <c r="M52" s="367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15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2"/>
      <c r="D56" s="6"/>
      <c r="E56" s="312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3" t="s">
        <v>277</v>
      </c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2"/>
    </row>
    <row r="58" spans="1:14" ht="15.75" customHeight="1">
      <c r="A58" s="9"/>
      <c r="B58" s="314" t="s">
        <v>278</v>
      </c>
      <c r="C58" s="318" t="str">
        <f t="shared" ref="C58:M58" si="25">IF(C57="","",C57/C7)</f>
        <v/>
      </c>
      <c r="D58" s="318" t="str">
        <f t="shared" si="25"/>
        <v/>
      </c>
      <c r="E58" s="318" t="str">
        <f t="shared" si="25"/>
        <v/>
      </c>
      <c r="F58" s="318" t="str">
        <f t="shared" si="25"/>
        <v/>
      </c>
      <c r="G58" s="318" t="str">
        <f t="shared" si="25"/>
        <v/>
      </c>
      <c r="H58" s="318" t="str">
        <f t="shared" si="25"/>
        <v/>
      </c>
      <c r="I58" s="318" t="str">
        <f t="shared" si="25"/>
        <v/>
      </c>
      <c r="J58" s="318" t="str">
        <f t="shared" si="25"/>
        <v/>
      </c>
      <c r="K58" s="318" t="str">
        <f t="shared" si="25"/>
        <v/>
      </c>
      <c r="L58" s="318" t="str">
        <f t="shared" si="25"/>
        <v/>
      </c>
      <c r="M58" s="319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0" priority="1">
      <formula>$C$55="No"</formula>
    </cfRule>
  </conditionalFormatting>
  <conditionalFormatting sqref="C7:M35 D42:M46 D48:M52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="80" zoomScaleNormal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9" t="s">
        <v>79</v>
      </c>
      <c r="C2" s="249"/>
      <c r="D2" s="11"/>
      <c r="E2" s="12"/>
      <c r="F2" s="12"/>
      <c r="G2" s="12"/>
      <c r="H2" s="12"/>
      <c r="I2" s="12"/>
      <c r="K2" s="317" t="s">
        <v>134</v>
      </c>
    </row>
    <row r="3" spans="1:11" ht="15" customHeight="1">
      <c r="B3" s="5" t="s">
        <v>243</v>
      </c>
      <c r="C3" s="6"/>
      <c r="D3" s="255">
        <v>160090995.734</v>
      </c>
      <c r="E3" s="152" t="str">
        <f>IF((C46-I46)=D3,"", "Error!")</f>
        <v/>
      </c>
      <c r="F3" s="6"/>
      <c r="G3" s="6"/>
      <c r="H3" s="256" t="s">
        <v>244</v>
      </c>
      <c r="I3" s="257">
        <v>159323330.11500001</v>
      </c>
      <c r="K3" s="72"/>
    </row>
    <row r="4" spans="1:11" ht="15" customHeight="1">
      <c r="B4" s="5" t="s">
        <v>217</v>
      </c>
      <c r="C4" s="6"/>
      <c r="D4" s="258">
        <f>D3-I3</f>
        <v>767665.61899998784</v>
      </c>
      <c r="E4" s="146"/>
      <c r="F4" s="6"/>
      <c r="G4" s="6"/>
      <c r="H4" s="59" t="s">
        <v>80</v>
      </c>
      <c r="I4" s="88">
        <f>(I3*Dashboard!I12*Data!C4)/Dashboard!I5</f>
        <v>19.496533400243045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82</v>
      </c>
      <c r="C6" s="6"/>
      <c r="D6" s="58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8">
        <f>C26/I26</f>
        <v>4.8817709652895234</v>
      </c>
      <c r="J6" s="6"/>
      <c r="K6" s="72"/>
    </row>
    <row r="7" spans="1:11" ht="15" customHeight="1" thickBot="1">
      <c r="B7" s="52" t="s">
        <v>83</v>
      </c>
      <c r="D7" s="60">
        <f>MAX((D6*Exchange_Rate*Data!C4)/Dashboard!I5, 0)</f>
        <v>12.330028168901379</v>
      </c>
      <c r="E7" s="48" t="str">
        <f>Dashboard!J4</f>
        <v>HKD</v>
      </c>
      <c r="H7" s="3" t="s">
        <v>290</v>
      </c>
      <c r="I7" s="68">
        <f>C25/I26</f>
        <v>3.7089690853896293</v>
      </c>
      <c r="J7" s="6"/>
      <c r="K7" s="113"/>
    </row>
    <row r="8" spans="1:11" ht="15" customHeight="1">
      <c r="D8" s="6"/>
      <c r="H8" s="3" t="s">
        <v>291</v>
      </c>
      <c r="I8" s="68">
        <f>C24/I26</f>
        <v>3.2145491810156961</v>
      </c>
      <c r="K8" s="72"/>
    </row>
    <row r="9" spans="1:11" ht="15" customHeight="1">
      <c r="A9" s="4"/>
      <c r="B9" s="250" t="s">
        <v>239</v>
      </c>
      <c r="C9" s="237"/>
      <c r="D9" s="253">
        <v>44926</v>
      </c>
      <c r="E9" s="268" t="s">
        <v>317</v>
      </c>
      <c r="F9" s="129"/>
      <c r="G9" s="129"/>
      <c r="H9" s="129"/>
      <c r="I9" s="129"/>
      <c r="K9" s="72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29" t="s">
        <v>227</v>
      </c>
      <c r="G10" s="6"/>
      <c r="H10" s="62" t="s">
        <v>88</v>
      </c>
      <c r="I10" s="23" t="s">
        <v>85</v>
      </c>
      <c r="K10" s="72"/>
    </row>
    <row r="11" spans="1:11" ht="15" customHeight="1">
      <c r="B11" s="5" t="s">
        <v>89</v>
      </c>
      <c r="C11" s="63">
        <v>3379024.0260000001</v>
      </c>
      <c r="D11" s="64">
        <v>1</v>
      </c>
      <c r="E11" s="26">
        <f t="shared" ref="E11:E21" si="0">C11*D11</f>
        <v>3379024.0260000001</v>
      </c>
      <c r="F11" s="6"/>
      <c r="G11" s="6"/>
      <c r="H11" s="5" t="s">
        <v>90</v>
      </c>
      <c r="I11" s="63">
        <v>2230528</v>
      </c>
      <c r="J11" s="6"/>
      <c r="K11" s="72"/>
    </row>
    <row r="12" spans="1:11" ht="14">
      <c r="B12" s="3" t="s">
        <v>91</v>
      </c>
      <c r="C12" s="63">
        <v>41083645.866999999</v>
      </c>
      <c r="D12" s="64">
        <v>0.98</v>
      </c>
      <c r="E12" s="26">
        <f t="shared" si="0"/>
        <v>40261972.949659996</v>
      </c>
      <c r="F12" s="6"/>
      <c r="G12" s="6"/>
      <c r="H12" s="5" t="s">
        <v>92</v>
      </c>
      <c r="I12" s="63">
        <v>40711.811999999998</v>
      </c>
      <c r="J12" s="6"/>
      <c r="K12" s="72"/>
    </row>
    <row r="13" spans="1:11" ht="14">
      <c r="B13" s="5" t="s">
        <v>93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94</v>
      </c>
      <c r="I13" s="63">
        <v>1695386.811</v>
      </c>
      <c r="J13" s="6"/>
      <c r="K13" s="75"/>
    </row>
    <row r="14" spans="1:11" ht="14">
      <c r="B14" s="5" t="s">
        <v>95</v>
      </c>
      <c r="C14" s="63">
        <v>9150.4850000000006</v>
      </c>
      <c r="D14" s="64">
        <v>0.6</v>
      </c>
      <c r="E14" s="26">
        <f t="shared" si="0"/>
        <v>5490.2910000000002</v>
      </c>
      <c r="F14" s="6"/>
      <c r="G14" s="6"/>
      <c r="H14" s="3" t="s">
        <v>96</v>
      </c>
      <c r="I14" s="63">
        <v>0</v>
      </c>
      <c r="J14" s="6"/>
      <c r="K14" s="77"/>
    </row>
    <row r="15" spans="1:11" ht="14">
      <c r="B15" s="5" t="s">
        <v>97</v>
      </c>
      <c r="C15" s="63">
        <v>0</v>
      </c>
      <c r="D15" s="64">
        <v>0.8</v>
      </c>
      <c r="E15" s="26">
        <f t="shared" si="0"/>
        <v>0</v>
      </c>
      <c r="G15" s="6"/>
      <c r="H15" s="5" t="s">
        <v>98</v>
      </c>
      <c r="I15" s="151">
        <f>I26-SUM(I11:I14)</f>
        <v>9867916.8460000008</v>
      </c>
      <c r="J15" s="6"/>
    </row>
    <row r="16" spans="1:11" ht="14">
      <c r="B16" s="3" t="s">
        <v>96</v>
      </c>
      <c r="C16" s="63">
        <v>0</v>
      </c>
      <c r="D16" s="64">
        <v>0.5</v>
      </c>
      <c r="E16" s="26">
        <f t="shared" si="0"/>
        <v>0</v>
      </c>
      <c r="F16" s="199" t="s">
        <v>228</v>
      </c>
      <c r="G16" s="91">
        <f>IF(F16="Y",0,1)</f>
        <v>0</v>
      </c>
      <c r="H16" s="5"/>
      <c r="I16" s="150"/>
      <c r="J16" s="6"/>
    </row>
    <row r="17" spans="2:10" ht="14">
      <c r="B17" s="5" t="s">
        <v>99</v>
      </c>
      <c r="C17" s="63">
        <v>6840073.6589999991</v>
      </c>
      <c r="D17" s="64">
        <v>0.6</v>
      </c>
      <c r="E17" s="26">
        <f t="shared" si="0"/>
        <v>4104044.1953999992</v>
      </c>
      <c r="F17" s="6"/>
      <c r="G17" s="6"/>
      <c r="H17" s="5"/>
      <c r="I17" s="150"/>
      <c r="J17" s="6"/>
    </row>
    <row r="18" spans="2:10" ht="14">
      <c r="B18" s="5" t="s">
        <v>100</v>
      </c>
      <c r="C18" s="63">
        <v>13046.883</v>
      </c>
      <c r="D18" s="64">
        <v>0.6</v>
      </c>
      <c r="E18" s="26">
        <f t="shared" si="0"/>
        <v>7828.1297999999997</v>
      </c>
      <c r="G18" s="6"/>
    </row>
    <row r="19" spans="2:10" ht="14">
      <c r="B19" s="3" t="s">
        <v>101</v>
      </c>
      <c r="C19" s="63">
        <v>8609555.8550000004</v>
      </c>
      <c r="D19" s="64">
        <v>0.65</v>
      </c>
      <c r="E19" s="26">
        <f t="shared" si="0"/>
        <v>5596211.3057500003</v>
      </c>
      <c r="F19" s="199" t="s">
        <v>228</v>
      </c>
      <c r="G19" s="91">
        <f>IF(F19="Y",0,1)</f>
        <v>0</v>
      </c>
      <c r="H19" s="5"/>
      <c r="I19" s="150"/>
    </row>
    <row r="20" spans="2:10" ht="14">
      <c r="B20" s="5" t="s">
        <v>102</v>
      </c>
      <c r="C20" s="63">
        <v>7527029.5259999996</v>
      </c>
      <c r="D20" s="64">
        <v>0.45</v>
      </c>
      <c r="E20" s="26">
        <f t="shared" si="0"/>
        <v>3387163.2867000001</v>
      </c>
      <c r="F20" s="199" t="s">
        <v>228</v>
      </c>
      <c r="G20" s="91">
        <f>IF(F20="Y",0,1)</f>
        <v>0</v>
      </c>
      <c r="H20" s="5"/>
      <c r="I20" s="150"/>
    </row>
    <row r="21" spans="2:10" ht="14">
      <c r="B21" s="5" t="s">
        <v>103</v>
      </c>
      <c r="C21" s="63">
        <v>75546.323999999993</v>
      </c>
      <c r="D21" s="64">
        <v>0.95</v>
      </c>
      <c r="E21" s="26">
        <f t="shared" si="0"/>
        <v>71769.007799999992</v>
      </c>
      <c r="F21" s="6"/>
      <c r="G21" s="6"/>
      <c r="H21" s="5"/>
      <c r="I21" s="150"/>
    </row>
    <row r="22" spans="2:10" ht="15" customHeight="1">
      <c r="B22" s="5" t="s">
        <v>104</v>
      </c>
      <c r="C22" s="63">
        <v>0</v>
      </c>
      <c r="D22" s="64">
        <v>0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105</v>
      </c>
      <c r="C24" s="69">
        <f>SUM(C11:C14)</f>
        <v>44471820.377999999</v>
      </c>
      <c r="D24" s="67">
        <f>IF(E24=0,0,E24/C24)</f>
        <v>0.98144143630000158</v>
      </c>
      <c r="E24" s="26">
        <f>SUM(E11:E14)</f>
        <v>43646487.266659997</v>
      </c>
      <c r="F24" s="6"/>
      <c r="G24" s="6"/>
      <c r="H24" s="65" t="s">
        <v>292</v>
      </c>
      <c r="I24" s="68">
        <f>E24/($I$26-I15)</f>
        <v>11.003427197705268</v>
      </c>
      <c r="J24" s="13" t="str">
        <f>IF(I24&lt;1,"Liquidity Problem!","")</f>
        <v/>
      </c>
    </row>
    <row r="25" spans="2:10" ht="15" customHeight="1">
      <c r="B25" s="65" t="s">
        <v>106</v>
      </c>
      <c r="C25" s="69">
        <f>C24+SUM(C15:C17)</f>
        <v>51311894.037</v>
      </c>
      <c r="D25" s="67">
        <f>IF(E25=0,0,E25/C25)</f>
        <v>0.93059381958553367</v>
      </c>
      <c r="E25" s="26">
        <f>E24+SUM(E15:E17)</f>
        <v>47750531.462059997</v>
      </c>
      <c r="F25" s="6"/>
      <c r="G25" s="6"/>
      <c r="H25" s="65" t="s">
        <v>296</v>
      </c>
      <c r="I25" s="68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69">
        <f>SUM(C11:C22)</f>
        <v>67537072.625</v>
      </c>
      <c r="D26" s="14">
        <f t="shared" ref="D26" si="2">E26/C26</f>
        <v>0.84121951076510693</v>
      </c>
      <c r="E26" s="26">
        <f>SUM(E11:E22)</f>
        <v>56813503.192109995</v>
      </c>
      <c r="H26" s="5" t="s">
        <v>56</v>
      </c>
      <c r="I26" s="63">
        <v>13834543.469000001</v>
      </c>
      <c r="J26" s="104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227</v>
      </c>
      <c r="G27" s="6"/>
      <c r="I27" s="6"/>
      <c r="J27" s="6"/>
    </row>
    <row r="28" spans="2:10" ht="15" customHeight="1">
      <c r="B28" s="5" t="s">
        <v>108</v>
      </c>
      <c r="C28" s="63">
        <v>0</v>
      </c>
      <c r="D28" s="64">
        <v>0.95</v>
      </c>
      <c r="E28" s="26">
        <v>0</v>
      </c>
      <c r="F28" s="6"/>
      <c r="G28" s="6"/>
      <c r="H28" s="5" t="s">
        <v>109</v>
      </c>
      <c r="I28" s="63">
        <v>997248.75199999998</v>
      </c>
      <c r="J28" s="6"/>
    </row>
    <row r="29" spans="2:10" ht="15" customHeight="1">
      <c r="B29" s="5" t="s">
        <v>110</v>
      </c>
      <c r="C29" s="63">
        <v>941238.06900000002</v>
      </c>
      <c r="D29" s="64">
        <v>0.6</v>
      </c>
      <c r="E29" s="26">
        <f t="shared" ref="E29:E40" si="3">C29*D29</f>
        <v>564742.84140000003</v>
      </c>
      <c r="F29" s="6"/>
      <c r="G29" s="6"/>
      <c r="H29" s="5" t="s">
        <v>111</v>
      </c>
      <c r="I29" s="63">
        <v>35896.328000000001</v>
      </c>
      <c r="J29" s="6"/>
    </row>
    <row r="30" spans="2:10" ht="15" customHeight="1">
      <c r="B30" s="5" t="s">
        <v>112</v>
      </c>
      <c r="C30" s="63">
        <v>0</v>
      </c>
      <c r="D30" s="64">
        <v>0</v>
      </c>
      <c r="E30" s="26">
        <f t="shared" si="3"/>
        <v>0</v>
      </c>
      <c r="F30" s="6"/>
      <c r="G30" s="6"/>
      <c r="H30" s="5" t="s">
        <v>114</v>
      </c>
      <c r="I30" s="63">
        <v>1739746.648</v>
      </c>
      <c r="J30" s="6"/>
    </row>
    <row r="31" spans="2:10" ht="14">
      <c r="B31" s="3" t="s">
        <v>113</v>
      </c>
      <c r="C31" s="63">
        <v>0</v>
      </c>
      <c r="D31" s="64">
        <v>0.3</v>
      </c>
      <c r="E31" s="26">
        <f t="shared" si="3"/>
        <v>0</v>
      </c>
      <c r="F31" s="199" t="s">
        <v>228</v>
      </c>
      <c r="G31" s="91">
        <f>IF(F31="Y",0,1)</f>
        <v>0</v>
      </c>
      <c r="H31" s="3" t="s">
        <v>113</v>
      </c>
      <c r="I31" s="63">
        <v>0</v>
      </c>
      <c r="J31" s="6"/>
    </row>
    <row r="32" spans="2:10" ht="14">
      <c r="B32" s="5" t="s">
        <v>115</v>
      </c>
      <c r="C32" s="63">
        <v>19909711.574000001</v>
      </c>
      <c r="D32" s="64">
        <v>0.4</v>
      </c>
      <c r="E32" s="26">
        <f t="shared" si="3"/>
        <v>7963884.6296000006</v>
      </c>
      <c r="G32" s="6"/>
      <c r="H32" s="5" t="s">
        <v>116</v>
      </c>
      <c r="I32" s="151">
        <f>I42-SUM(I28:I31)</f>
        <v>2692468.8590000002</v>
      </c>
      <c r="J32" s="6"/>
    </row>
    <row r="33" spans="2:10" ht="14">
      <c r="B33" s="5" t="s">
        <v>117</v>
      </c>
      <c r="C33" s="63">
        <v>23060132.886</v>
      </c>
      <c r="D33" s="64">
        <v>0.5</v>
      </c>
      <c r="E33" s="212">
        <f t="shared" si="3"/>
        <v>11530066.443</v>
      </c>
      <c r="F33" s="199" t="s">
        <v>229</v>
      </c>
      <c r="G33" s="91">
        <f>IF(F33="Y",0,1)</f>
        <v>1</v>
      </c>
      <c r="J33" s="6"/>
    </row>
    <row r="34" spans="2:10" ht="14">
      <c r="B34" s="5" t="s">
        <v>118</v>
      </c>
      <c r="C34" s="63">
        <v>66597606.537</v>
      </c>
      <c r="D34" s="64">
        <v>0.65</v>
      </c>
      <c r="E34" s="212">
        <f t="shared" si="3"/>
        <v>43288444.249049999</v>
      </c>
      <c r="F34" s="199" t="s">
        <v>228</v>
      </c>
      <c r="G34" s="91">
        <f>IF(F34="Y",0,1)</f>
        <v>0</v>
      </c>
    </row>
    <row r="35" spans="2:10" ht="14">
      <c r="B35" s="3" t="s">
        <v>102</v>
      </c>
      <c r="C35" s="63">
        <v>0</v>
      </c>
      <c r="D35" s="64">
        <v>0.45</v>
      </c>
      <c r="E35" s="26">
        <f t="shared" si="3"/>
        <v>0</v>
      </c>
      <c r="F35" s="199" t="s">
        <v>228</v>
      </c>
      <c r="G35" s="91">
        <f>IF(F35="Y",0,1)</f>
        <v>0</v>
      </c>
    </row>
    <row r="36" spans="2:10" ht="15" customHeight="1">
      <c r="B36" s="5" t="s">
        <v>282</v>
      </c>
      <c r="C36" s="63">
        <v>114740.003</v>
      </c>
      <c r="D36" s="64">
        <v>0.4</v>
      </c>
      <c r="E36" s="26">
        <f t="shared" si="3"/>
        <v>45896.001199999999</v>
      </c>
      <c r="F36" s="6"/>
      <c r="G36" s="6"/>
    </row>
    <row r="37" spans="2:10" ht="14">
      <c r="B37" s="5" t="s">
        <v>283</v>
      </c>
      <c r="C37" s="63">
        <v>1217891.264</v>
      </c>
      <c r="D37" s="64">
        <v>0.5</v>
      </c>
      <c r="E37" s="26">
        <f t="shared" si="3"/>
        <v>608945.63199999998</v>
      </c>
      <c r="F37" s="6"/>
      <c r="G37" s="6"/>
    </row>
    <row r="38" spans="2:10" ht="15" customHeight="1">
      <c r="B38" s="5" t="s">
        <v>119</v>
      </c>
      <c r="C38" s="63">
        <v>0</v>
      </c>
      <c r="D38" s="64">
        <v>0.1</v>
      </c>
      <c r="E38" s="26">
        <f t="shared" si="3"/>
        <v>0</v>
      </c>
      <c r="F38" s="6"/>
      <c r="G38" s="6"/>
    </row>
    <row r="39" spans="2:10" ht="15" customHeight="1">
      <c r="B39" s="5" t="s">
        <v>120</v>
      </c>
      <c r="C39" s="63">
        <v>12206.832</v>
      </c>
      <c r="D39" s="64">
        <v>0.95</v>
      </c>
      <c r="E39" s="26">
        <f t="shared" si="3"/>
        <v>11596.490400000001</v>
      </c>
      <c r="F39" s="6"/>
      <c r="G39" s="6"/>
    </row>
    <row r="40" spans="2:10" ht="15" customHeight="1">
      <c r="B40" s="5" t="s">
        <v>121</v>
      </c>
      <c r="C40" s="63">
        <v>300</v>
      </c>
      <c r="D40" s="64">
        <v>0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6">
        <f>SUM(C28:C40)</f>
        <v>111853827.16500001</v>
      </c>
      <c r="D42" s="14">
        <f>E42/C42</f>
        <v>0.57229670105271435</v>
      </c>
      <c r="E42" s="26">
        <f>SUM(E28:E40)</f>
        <v>64013576.286649995</v>
      </c>
      <c r="F42" s="6"/>
      <c r="G42" s="6"/>
      <c r="H42" s="5" t="s">
        <v>123</v>
      </c>
      <c r="I42" s="63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124</v>
      </c>
      <c r="C44" s="69">
        <f>C24+SUM(C28:C29)</f>
        <v>45413058.446999997</v>
      </c>
      <c r="D44" s="67">
        <f>IF(E44=0,0,E44/C44)</f>
        <v>0.97353562213074429</v>
      </c>
      <c r="E44" s="26">
        <f>E24+SUM(E28:E29)</f>
        <v>44211230.108059995</v>
      </c>
      <c r="F44" s="6"/>
      <c r="G44" s="6"/>
      <c r="H44" s="65" t="s">
        <v>293</v>
      </c>
      <c r="I44" s="68">
        <f>E44/(I46-I15-I32)</f>
        <v>6.5599984754845266</v>
      </c>
      <c r="J44" s="13" t="str">
        <f>IF(I44&lt;1,"Liquidity Problem!","")</f>
        <v/>
      </c>
    </row>
    <row r="45" spans="2:10" ht="15" customHeight="1">
      <c r="B45" s="65" t="s">
        <v>125</v>
      </c>
      <c r="C45" s="69">
        <f>C44+(C25-C24)+SUM(C30:C33)</f>
        <v>95222976.566</v>
      </c>
      <c r="D45" s="67">
        <f>IF(E45=0,0,E45/C45)</f>
        <v>0.71210991108916599</v>
      </c>
      <c r="E45" s="26">
        <f>E44+(E25-E24)+SUM(E30:E33)</f>
        <v>67809225.376059994</v>
      </c>
      <c r="F45" s="6"/>
      <c r="G45" s="6"/>
      <c r="H45" s="65" t="s">
        <v>297</v>
      </c>
      <c r="I45" s="68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69">
        <f>C26+C42</f>
        <v>179390899.79000002</v>
      </c>
      <c r="D46" s="14">
        <f>E46/C46</f>
        <v>0.67354074047347734</v>
      </c>
      <c r="E46" s="26">
        <f>E26+E42</f>
        <v>120827079.47875999</v>
      </c>
      <c r="F46" s="6"/>
      <c r="G46" s="6"/>
      <c r="H46" s="5" t="s">
        <v>294</v>
      </c>
      <c r="I46" s="151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1"/>
    </row>
    <row r="49" spans="2:9" ht="14">
      <c r="B49" s="208" t="s">
        <v>202</v>
      </c>
      <c r="C49" s="6"/>
      <c r="D49" s="209" t="str">
        <f>IF(E50=D4,"BV of the MI","P/B Approach")</f>
        <v>BV of the MI</v>
      </c>
      <c r="E49" s="6"/>
    </row>
    <row r="50" spans="2:9" ht="14">
      <c r="B50" s="5" t="s">
        <v>201</v>
      </c>
      <c r="C50" s="210">
        <f>D4</f>
        <v>767665.61899998784</v>
      </c>
      <c r="D50" s="206">
        <f>IF(E50=0, 0,E50/C50)</f>
        <v>1</v>
      </c>
      <c r="E50" s="210">
        <f>MAX(C50,C50*Dashboard!I10)</f>
        <v>767665.61899998784</v>
      </c>
      <c r="I50" s="153"/>
    </row>
    <row r="51" spans="2:9" ht="15" customHeight="1">
      <c r="C51" s="6"/>
      <c r="D51" s="6"/>
      <c r="E51" s="6"/>
    </row>
    <row r="52" spans="2:9" ht="14.5" thickBot="1">
      <c r="B52" s="73" t="s">
        <v>249</v>
      </c>
      <c r="C52" s="5"/>
      <c r="D52" s="454">
        <f>D53+D54+D55</f>
        <v>6739518.3509999998</v>
      </c>
      <c r="E52" s="455"/>
      <c r="F52" s="52"/>
      <c r="G52" s="52"/>
    </row>
    <row r="53" spans="2:9" ht="14.5" thickTop="1">
      <c r="B53" s="57" t="s">
        <v>222</v>
      </c>
      <c r="C53" s="6"/>
      <c r="D53" s="457">
        <f>SUM(I11:I13)+SUM(I28:I30)</f>
        <v>6739518.3509999998</v>
      </c>
      <c r="E53" s="376"/>
      <c r="F53" s="5"/>
      <c r="G53" s="5"/>
      <c r="H53" s="3" t="s">
        <v>295</v>
      </c>
      <c r="I53" s="14">
        <f>D53/I3</f>
        <v>4.2300888050327577E-2</v>
      </c>
    </row>
    <row r="54" spans="2:9" ht="14">
      <c r="B54" s="57" t="s">
        <v>129</v>
      </c>
      <c r="C54" s="6"/>
      <c r="D54" s="464">
        <v>0</v>
      </c>
      <c r="E54" s="371"/>
      <c r="F54" s="6" t="s">
        <v>130</v>
      </c>
      <c r="G54" s="6"/>
    </row>
    <row r="55" spans="2:9" ht="12.75" customHeight="1">
      <c r="B55" s="57" t="s">
        <v>128</v>
      </c>
      <c r="C55" s="6"/>
      <c r="D55" s="464">
        <v>0</v>
      </c>
      <c r="E55" s="371"/>
      <c r="F55" s="5" t="s">
        <v>131</v>
      </c>
      <c r="G55" s="5"/>
    </row>
    <row r="56" spans="2:9" ht="15" customHeight="1">
      <c r="D56" s="6"/>
      <c r="E56" s="6"/>
    </row>
    <row r="57" spans="2:9" ht="14">
      <c r="B57" s="73" t="s">
        <v>132</v>
      </c>
      <c r="C57" s="5"/>
      <c r="D57" s="456"/>
      <c r="E57" s="456"/>
      <c r="F57" s="19"/>
      <c r="G57" s="19"/>
    </row>
    <row r="58" spans="2:9" ht="15" customHeight="1">
      <c r="B58" s="52" t="s">
        <v>223</v>
      </c>
      <c r="C58" s="205">
        <f>C14+C15+(C19*G19)+(C20*G20)+C29+C30+(C31*G31)+(C33*G33)+(C34*G34)+(C35*G35)</f>
        <v>24010521.440000001</v>
      </c>
      <c r="D58" s="125">
        <f>IF(E58=0,0,E58/C58)</f>
        <v>0.50395821705236565</v>
      </c>
      <c r="E58" s="213">
        <f>E14+E15+(E19*G19)+(E20*G20)+E29+E30+(E31*G31)+(E33*G33)+(E34*G34)+(E35*G35)</f>
        <v>12100299.5754</v>
      </c>
      <c r="H58" s="6"/>
    </row>
    <row r="59" spans="2:9" ht="14">
      <c r="B59" s="52" t="s">
        <v>89</v>
      </c>
      <c r="C59" s="205">
        <f>C11+C12+C28</f>
        <v>44462669.892999999</v>
      </c>
      <c r="D59" s="206">
        <f>IF(E59=0,0,E59/C59)</f>
        <v>0.98151993752697786</v>
      </c>
      <c r="E59" s="207">
        <f>E11+E12+E28</f>
        <v>43640996.975659996</v>
      </c>
      <c r="F59" s="6"/>
      <c r="G59" s="6"/>
    </row>
    <row r="60" spans="2:9" ht="14">
      <c r="B60" s="52" t="s">
        <v>133</v>
      </c>
      <c r="C60" s="6"/>
      <c r="D60" s="462">
        <f>((Dashboard!I6*Data!C4)+D52+E50-C58-C59)</f>
        <v>18301228.016199984</v>
      </c>
      <c r="E60" s="463"/>
      <c r="F60" s="6"/>
      <c r="G60" s="6"/>
    </row>
    <row r="61" spans="2:9" ht="15" customHeight="1">
      <c r="D61" s="6"/>
      <c r="E61" s="6"/>
    </row>
    <row r="62" spans="2:9" ht="15" customHeight="1">
      <c r="B62" s="269" t="s">
        <v>248</v>
      </c>
    </row>
    <row r="63" spans="2:9" ht="15" customHeight="1">
      <c r="B63" s="3" t="s">
        <v>251</v>
      </c>
      <c r="D63" s="460">
        <f>((C26-C11-C12-C14-C15-C16*G16-C19*G19-C20*G20)-I26)/Data!C7</f>
        <v>0.5934554144758829</v>
      </c>
      <c r="E63" s="461"/>
    </row>
    <row r="64" spans="2:9" ht="15" customHeight="1">
      <c r="B64" s="3" t="s">
        <v>250</v>
      </c>
      <c r="D64" s="458">
        <v>8.5599999999999996E-2</v>
      </c>
      <c r="E64" s="459"/>
      <c r="F64" s="248" t="s">
        <v>236</v>
      </c>
    </row>
    <row r="65" spans="2:5" ht="15" customHeight="1">
      <c r="B65" s="269" t="s">
        <v>252</v>
      </c>
      <c r="D65" s="458">
        <v>0.15</v>
      </c>
      <c r="E65" s="45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topLeftCell="A13" zoomScaleNormal="100" zoomScalePageLayoutView="80" workbookViewId="0">
      <selection activeCell="E17" sqref="E1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9" t="s">
        <v>233</v>
      </c>
      <c r="C2" s="263" t="s">
        <v>246</v>
      </c>
      <c r="D2" s="263"/>
      <c r="E2" s="263">
        <v>1</v>
      </c>
      <c r="F2" s="263"/>
      <c r="G2" s="263">
        <v>2</v>
      </c>
      <c r="H2" s="12"/>
      <c r="I2" s="263">
        <v>3</v>
      </c>
      <c r="J2" s="263"/>
      <c r="K2" s="12"/>
      <c r="L2" s="12"/>
    </row>
    <row r="3" spans="1:13" ht="15.75" customHeight="1">
      <c r="B3" s="28" t="str">
        <f>'FCFF Model'!B3</f>
        <v>(Numbers in 1000HKD)</v>
      </c>
      <c r="C3" s="259">
        <f>Dashboard!E6</f>
        <v>44742</v>
      </c>
      <c r="D3" s="27" t="s">
        <v>235</v>
      </c>
      <c r="E3" s="259">
        <f>EOMONTH(EDATE(C3,12),0)</f>
        <v>45107</v>
      </c>
      <c r="F3" s="27" t="s">
        <v>235</v>
      </c>
      <c r="G3" s="259">
        <f>IF(G9="","",EOMONTH(EDATE(E3,12),0))</f>
        <v>45473</v>
      </c>
      <c r="H3" s="27"/>
      <c r="I3" s="259" t="str">
        <f>IF(I16="","",EOMONTH(EDATE(G3,12),0))</f>
        <v/>
      </c>
      <c r="J3" s="274"/>
      <c r="L3" s="70" t="s">
        <v>134</v>
      </c>
    </row>
    <row r="4" spans="1:13" ht="15.75" customHeight="1">
      <c r="B4" s="270" t="s">
        <v>324</v>
      </c>
      <c r="C4" s="271">
        <v>11129690.461999999</v>
      </c>
      <c r="D4" s="242">
        <f>C4/C8</f>
        <v>0.71954007930541752</v>
      </c>
      <c r="E4" s="271">
        <f>3947351.849/0.7</f>
        <v>5639074.0700000003</v>
      </c>
      <c r="F4" s="242">
        <f>E4/E8</f>
        <v>0.53990943728418095</v>
      </c>
      <c r="G4" s="214">
        <f>E4*1.52</f>
        <v>8571392.5864000004</v>
      </c>
      <c r="H4" s="242">
        <f>G4/G8</f>
        <v>0.63096006033519247</v>
      </c>
      <c r="I4" s="214"/>
      <c r="J4" s="264"/>
      <c r="K4" s="6"/>
      <c r="L4" s="72"/>
      <c r="M4" s="56"/>
    </row>
    <row r="5" spans="1:13" ht="15.75" customHeight="1">
      <c r="B5" s="270" t="s">
        <v>325</v>
      </c>
      <c r="C5" s="271">
        <v>1147617.763</v>
      </c>
      <c r="D5" s="242">
        <f>C5/C8</f>
        <v>7.4194064877248861E-2</v>
      </c>
      <c r="E5" s="271">
        <f>591321.795*2</f>
        <v>1182643.5900000001</v>
      </c>
      <c r="F5" s="242">
        <f>E5/E8</f>
        <v>0.11323143254698259</v>
      </c>
      <c r="G5" s="214">
        <f>E5*1.03</f>
        <v>1218122.8977000001</v>
      </c>
      <c r="H5" s="242">
        <f>G5/G8</f>
        <v>8.9668847772527399E-2</v>
      </c>
      <c r="I5" s="214"/>
      <c r="J5" s="264"/>
      <c r="K5" s="6"/>
      <c r="L5" s="72"/>
      <c r="M5" s="56"/>
    </row>
    <row r="6" spans="1:13" ht="15.75" customHeight="1">
      <c r="B6" s="270" t="s">
        <v>326</v>
      </c>
      <c r="C6" s="271">
        <v>451993.272</v>
      </c>
      <c r="D6" s="242">
        <f>C6/C8</f>
        <v>2.9221592091066291E-2</v>
      </c>
      <c r="E6" s="271">
        <f>455151.15*2</f>
        <v>910302.3</v>
      </c>
      <c r="F6" s="242">
        <f>E6/E8</f>
        <v>8.7156294890004107E-2</v>
      </c>
      <c r="G6" s="214">
        <f>E6*1.1</f>
        <v>1001332.5300000001</v>
      </c>
      <c r="H6" s="242">
        <f>G6/G8</f>
        <v>7.3710406701806244E-2</v>
      </c>
      <c r="I6" s="214"/>
      <c r="J6" s="264"/>
      <c r="K6" s="6"/>
      <c r="L6" s="72"/>
      <c r="M6" s="56"/>
    </row>
    <row r="7" spans="1:13" ht="15.75" customHeight="1">
      <c r="B7" s="270" t="s">
        <v>327</v>
      </c>
      <c r="C7" s="271">
        <v>2738482.4139999999</v>
      </c>
      <c r="D7" s="242">
        <f>C7/C8</f>
        <v>0.17704426372626741</v>
      </c>
      <c r="E7" s="271">
        <f>1356230.715*2</f>
        <v>2712461.43</v>
      </c>
      <c r="F7" s="242">
        <f>E7/E8</f>
        <v>0.25970283527883237</v>
      </c>
      <c r="G7" s="214">
        <f>E7*1.03</f>
        <v>2793835.2729000002</v>
      </c>
      <c r="H7" s="242">
        <f>G7/G8</f>
        <v>0.20566068519047398</v>
      </c>
      <c r="I7" s="214"/>
      <c r="J7" s="264"/>
      <c r="K7" s="6"/>
      <c r="L7" s="72"/>
      <c r="M7" s="56"/>
    </row>
    <row r="8" spans="1:13" ht="15.75" customHeight="1">
      <c r="B8" s="5" t="s">
        <v>136</v>
      </c>
      <c r="C8" s="176">
        <f>SUM(C4:C7)</f>
        <v>15467783.910999998</v>
      </c>
      <c r="D8" s="241"/>
      <c r="E8" s="311">
        <f>SUM(E4:E7)</f>
        <v>10444481.390000001</v>
      </c>
      <c r="F8" s="241"/>
      <c r="G8" s="311">
        <f>SUM(G4:G7)</f>
        <v>13584683.287</v>
      </c>
      <c r="H8" s="241"/>
      <c r="I8" s="220"/>
      <c r="J8" s="265"/>
      <c r="K8" s="6"/>
      <c r="L8" s="72" t="s">
        <v>253</v>
      </c>
      <c r="M8" s="56"/>
    </row>
    <row r="9" spans="1:13" ht="15.75" customHeight="1">
      <c r="B9" s="17" t="s">
        <v>135</v>
      </c>
      <c r="C9" s="183"/>
      <c r="D9" s="243"/>
      <c r="E9" s="18">
        <f>E8/C8-1</f>
        <v>-0.32475903141028817</v>
      </c>
      <c r="F9" s="243"/>
      <c r="G9" s="71">
        <v>0.30065656491154891</v>
      </c>
      <c r="H9" s="243"/>
      <c r="I9" s="71"/>
      <c r="J9" s="301"/>
      <c r="K9" s="6"/>
      <c r="L9" s="72"/>
      <c r="M9" s="56"/>
    </row>
    <row r="10" spans="1:13" ht="15.75" customHeight="1">
      <c r="B10" s="8" t="s">
        <v>137</v>
      </c>
      <c r="C10" s="177">
        <f>Data!C9</f>
        <v>7301864</v>
      </c>
      <c r="D10" s="244"/>
      <c r="E10" s="219">
        <f>E8*(1-E11)</f>
        <v>6266688.8339999998</v>
      </c>
      <c r="F10" s="244"/>
      <c r="G10" s="262">
        <f>IF(G8="","",G8*(1-G11))</f>
        <v>6792341.6435000002</v>
      </c>
      <c r="H10" s="244"/>
      <c r="I10" s="262" t="str">
        <f>IF(I8="","",I8*(1-I11))</f>
        <v/>
      </c>
      <c r="J10" s="302"/>
      <c r="K10" s="6"/>
      <c r="L10" s="113"/>
      <c r="M10" s="1"/>
    </row>
    <row r="11" spans="1:13" ht="15.75" customHeight="1">
      <c r="B11" s="17" t="s">
        <v>46</v>
      </c>
      <c r="C11" s="182">
        <f>(C8-C10)/C8</f>
        <v>0.52793082434987726</v>
      </c>
      <c r="D11" s="182"/>
      <c r="E11" s="71">
        <v>0.4</v>
      </c>
      <c r="F11" s="182"/>
      <c r="G11" s="71">
        <v>0.5</v>
      </c>
      <c r="H11" s="182"/>
      <c r="I11" s="71"/>
      <c r="J11" s="303"/>
      <c r="K11" s="6"/>
      <c r="L11" s="72"/>
    </row>
    <row r="12" spans="1:13" ht="15.75" customHeight="1">
      <c r="B12" s="5" t="s">
        <v>138</v>
      </c>
      <c r="C12" s="26">
        <f>C8-C10</f>
        <v>8165919.9109999985</v>
      </c>
      <c r="D12" s="26"/>
      <c r="E12" s="26">
        <f>E8-E10</f>
        <v>4177792.5560000008</v>
      </c>
      <c r="F12" s="26"/>
      <c r="G12" s="26">
        <f>IF(G9="","",G8-G10)</f>
        <v>6792341.6435000002</v>
      </c>
      <c r="H12" s="26"/>
      <c r="I12" s="26" t="str">
        <f>IF(I9="","",I8-I10)</f>
        <v/>
      </c>
      <c r="J12" s="228"/>
      <c r="K12" s="6"/>
      <c r="L12" s="72"/>
    </row>
    <row r="13" spans="1:13" ht="15.75" customHeight="1">
      <c r="B13" s="17" t="s">
        <v>48</v>
      </c>
      <c r="C13" s="184">
        <f>C14/C8</f>
        <v>6.7328499738051453E-2</v>
      </c>
      <c r="D13" s="184"/>
      <c r="E13" s="218">
        <f>E14/E8</f>
        <v>0.10369874309288227</v>
      </c>
      <c r="F13" s="184"/>
      <c r="G13" s="64">
        <v>0.09</v>
      </c>
      <c r="H13" s="184"/>
      <c r="I13" s="64"/>
      <c r="J13" s="304"/>
      <c r="K13" s="6"/>
      <c r="L13" s="72"/>
    </row>
    <row r="14" spans="1:13" ht="15.75" customHeight="1">
      <c r="B14" s="8" t="s">
        <v>139</v>
      </c>
      <c r="C14" s="179">
        <f>867483.279+173939.406</f>
        <v>1041422.6849999999</v>
      </c>
      <c r="D14" s="245"/>
      <c r="E14" s="74">
        <f>C14*1.04</f>
        <v>1083079.5924</v>
      </c>
      <c r="F14" s="245"/>
      <c r="G14" s="74">
        <f>G8*G13</f>
        <v>1222621.4958299999</v>
      </c>
      <c r="H14" s="245"/>
      <c r="I14" s="74"/>
      <c r="J14" s="305"/>
      <c r="K14" s="6"/>
      <c r="L14" s="72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1"/>
      <c r="K15" s="6"/>
      <c r="L15" s="72"/>
      <c r="M15" s="56"/>
    </row>
    <row r="16" spans="1:13" ht="15.75" customHeight="1">
      <c r="B16" s="17" t="s">
        <v>140</v>
      </c>
      <c r="C16" s="246">
        <f>Data!C15</f>
        <v>-0.41903516669990476</v>
      </c>
      <c r="D16" s="246"/>
      <c r="E16" s="14">
        <f>IF(ABS(C17+E17)=ABS(C17)+ABS(E17),IF(E17&lt;0,-1,1)*(E17-C17)/C17,"Turn")</f>
        <v>-0.56562366923153307</v>
      </c>
      <c r="F16" s="246"/>
      <c r="G16" s="14">
        <f>IF(G9="","",IF(ABS(E17+G17)=ABS(E17)+ABS(G17),IF(G17&lt;0,-1,1)*(G17-E17)/E17,"Turn"))</f>
        <v>0.7997533901143733</v>
      </c>
      <c r="H16" s="246"/>
      <c r="I16" s="14" t="str">
        <f>IF(I9="","",IF(ABS(G17+I17)=ABS(G17)+ABS(I17),IF(I17&lt;0,-1,1)*(I17-G17)/G17,"Turn"))</f>
        <v/>
      </c>
      <c r="J16" s="306"/>
      <c r="K16" s="6"/>
      <c r="L16" s="75" t="s">
        <v>361</v>
      </c>
      <c r="M16" s="76"/>
    </row>
    <row r="17" spans="2:13" ht="15.75" customHeight="1">
      <c r="B17" s="130" t="s">
        <v>232</v>
      </c>
      <c r="C17" s="293">
        <f>C12-C14</f>
        <v>7124497.2259999989</v>
      </c>
      <c r="D17" s="294"/>
      <c r="E17" s="293">
        <f>E12-E14</f>
        <v>3094712.9636000008</v>
      </c>
      <c r="F17" s="294"/>
      <c r="G17" s="293">
        <f>IF(G9="","",G12-G14)</f>
        <v>5569720.1476700008</v>
      </c>
      <c r="H17" s="294"/>
      <c r="I17" s="293" t="str">
        <f>IF(I9="","",I12-I14)</f>
        <v/>
      </c>
      <c r="J17" s="307"/>
      <c r="K17" s="6"/>
      <c r="L17" s="77"/>
      <c r="M17" s="55"/>
    </row>
    <row r="18" spans="2:13" ht="15.75" customHeight="1">
      <c r="B18" s="289" t="s">
        <v>141</v>
      </c>
      <c r="C18" s="290">
        <f>(16.5%+25%)/2</f>
        <v>0.20750000000000002</v>
      </c>
      <c r="D18" s="291"/>
      <c r="E18" s="292">
        <f>IF(E17="","",C18)</f>
        <v>0.20750000000000002</v>
      </c>
      <c r="F18" s="292"/>
      <c r="G18" s="292">
        <f>IF(G17="","",E18)</f>
        <v>0.20750000000000002</v>
      </c>
      <c r="H18" s="292"/>
      <c r="I18" s="292" t="str">
        <f>IF(I17="","",G18)</f>
        <v/>
      </c>
      <c r="J18" s="308"/>
      <c r="L18" s="72" t="s">
        <v>328</v>
      </c>
    </row>
    <row r="19" spans="2:13" ht="15.75" customHeight="1">
      <c r="B19" s="298" t="s">
        <v>285</v>
      </c>
      <c r="C19" s="246">
        <f>C20/C10</f>
        <v>0.77324968687515949</v>
      </c>
      <c r="D19" s="300"/>
      <c r="E19" s="299">
        <f>E20/E10</f>
        <v>0.39136457683148479</v>
      </c>
      <c r="F19" s="299"/>
      <c r="G19" s="299">
        <f>IF(G10="","",G20/G10)</f>
        <v>0.64985000000000004</v>
      </c>
      <c r="H19" s="299"/>
      <c r="I19" s="299" t="str">
        <f>IF(I10="","",I20/I10)</f>
        <v/>
      </c>
      <c r="J19" s="309"/>
    </row>
    <row r="20" spans="2:13" ht="15.75" customHeight="1">
      <c r="B20" s="295" t="s">
        <v>78</v>
      </c>
      <c r="C20" s="296">
        <f>IF(C17&lt;=0,C17,C17*(1-C18))</f>
        <v>5646164.0516049992</v>
      </c>
      <c r="D20" s="296"/>
      <c r="E20" s="297">
        <f>IF(E17="","",IF(E17&lt;=0,E17,E17*(1-E18)))</f>
        <v>2452560.0236530006</v>
      </c>
      <c r="F20" s="296"/>
      <c r="G20" s="297">
        <f>IF(G17="","",IF(G17&lt;=0,G17,G17*(1-G18)))</f>
        <v>4414003.2170284754</v>
      </c>
      <c r="H20" s="296"/>
      <c r="I20" s="297" t="str">
        <f>IF(I17="","",IF(I17&lt;=0,I17,I17*(1-I18)))</f>
        <v/>
      </c>
      <c r="J20" s="310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E25" sqref="E2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9" t="s">
        <v>216</v>
      </c>
      <c r="C2" s="263" t="s">
        <v>246</v>
      </c>
      <c r="D2" s="263">
        <v>1</v>
      </c>
      <c r="E2" s="263">
        <v>2</v>
      </c>
      <c r="F2" s="263">
        <v>3</v>
      </c>
      <c r="G2" s="263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9">
        <f>Operation!C3</f>
        <v>44742</v>
      </c>
      <c r="D3" s="259">
        <f>Operation!E3</f>
        <v>45107</v>
      </c>
      <c r="E3" s="259">
        <f>Operation!G3</f>
        <v>45473</v>
      </c>
      <c r="F3" s="259" t="str">
        <f>Operation!I3</f>
        <v/>
      </c>
      <c r="G3" s="27" t="s">
        <v>245</v>
      </c>
      <c r="I3" s="70" t="s">
        <v>134</v>
      </c>
    </row>
    <row r="4" spans="1:10" ht="15.75" customHeight="1">
      <c r="B4" s="5" t="s">
        <v>78</v>
      </c>
      <c r="C4" s="178">
        <f>Operation!C20</f>
        <v>5646164.0516049992</v>
      </c>
      <c r="D4" s="44">
        <f>Operation!E20</f>
        <v>2452560.0236530006</v>
      </c>
      <c r="E4" s="44">
        <f>Operation!G20</f>
        <v>4414003.2170284754</v>
      </c>
      <c r="F4" s="196" t="str">
        <f>Operation!I20</f>
        <v/>
      </c>
      <c r="G4" s="279">
        <f>IF(F3="",IF(E3="",1,2),3)</f>
        <v>2</v>
      </c>
      <c r="H4" s="6"/>
      <c r="I4" s="77"/>
      <c r="J4" s="55"/>
    </row>
    <row r="5" spans="1:10" ht="15.75" customHeight="1">
      <c r="B5" s="17" t="s">
        <v>258</v>
      </c>
      <c r="C5" s="239"/>
      <c r="D5" s="240">
        <f>D4/C4-1</f>
        <v>-0.56562366923153307</v>
      </c>
      <c r="E5" s="240">
        <f>IF(E4="","",E4/D4-1)</f>
        <v>0.79975339011437319</v>
      </c>
      <c r="F5" s="240" t="str">
        <f>IF(F4="","",F4/E4-1)</f>
        <v/>
      </c>
      <c r="G5" s="193"/>
      <c r="H5" s="6"/>
      <c r="I5" s="77"/>
      <c r="J5" s="55"/>
    </row>
    <row r="6" spans="1:10" ht="15.75" customHeight="1">
      <c r="B6" s="17" t="s">
        <v>66</v>
      </c>
      <c r="C6" s="64">
        <v>0.27</v>
      </c>
      <c r="D6" s="218">
        <v>0.27</v>
      </c>
      <c r="E6" s="64">
        <v>0.27</v>
      </c>
      <c r="F6" s="283"/>
      <c r="G6" s="194"/>
      <c r="H6" s="6"/>
      <c r="I6" s="75"/>
    </row>
    <row r="7" spans="1:10" ht="15" customHeight="1" thickBot="1">
      <c r="B7" s="79" t="s">
        <v>254</v>
      </c>
      <c r="C7" s="284">
        <f>C4*C6</f>
        <v>1524464.2939333499</v>
      </c>
      <c r="D7" s="284">
        <f>D4*D6</f>
        <v>662191.20638631016</v>
      </c>
      <c r="E7" s="285">
        <f>E4*E6</f>
        <v>1191780.8685976884</v>
      </c>
      <c r="F7" s="285"/>
      <c r="G7" s="195"/>
      <c r="H7" s="80"/>
      <c r="I7" s="55"/>
      <c r="J7" s="55"/>
    </row>
    <row r="8" spans="1:10" ht="15.75" customHeight="1" thickTop="1">
      <c r="B8" s="17" t="s">
        <v>142</v>
      </c>
      <c r="C8" s="187">
        <f>IF(C4="","",C4-C7)</f>
        <v>4121699.7576716496</v>
      </c>
      <c r="D8" s="186">
        <f>D4-D7</f>
        <v>1790368.8172666905</v>
      </c>
      <c r="E8" s="186">
        <f>IF(E4="","",E4-E7)</f>
        <v>3222222.3484307872</v>
      </c>
      <c r="F8" s="186" t="str">
        <f>IF(F4="","",F4-F7)</f>
        <v/>
      </c>
      <c r="H8" s="80"/>
      <c r="I8" s="55"/>
      <c r="J8" s="55"/>
    </row>
    <row r="9" spans="1:10" ht="15.75" customHeight="1">
      <c r="B9" s="198" t="s">
        <v>209</v>
      </c>
      <c r="C9" s="188">
        <f>C8/(Common_Shares/Data!$C$4)</f>
        <v>0.50437595632237753</v>
      </c>
      <c r="D9" s="281">
        <f>D8/(Common_Shares/Data!$C$4)</f>
        <v>0.21908897723515092</v>
      </c>
      <c r="E9" s="281">
        <f>IF(E8="","",E8/(Common_Shares/Data!$C$4))</f>
        <v>0.39430612951565364</v>
      </c>
      <c r="F9" s="281" t="str">
        <f>IF(F8="","",F8/(Common_Shares/Data!$C$4))</f>
        <v/>
      </c>
      <c r="G9" s="335">
        <f>IF(F4="",IF(E4="",D8,E8),F8)*Data!C$4/Dashboard!I5</f>
        <v>0.39430612951565358</v>
      </c>
      <c r="H9" s="80"/>
      <c r="I9" s="55"/>
      <c r="J9" s="55"/>
    </row>
    <row r="10" spans="1:10" ht="15.75" customHeight="1">
      <c r="B10" s="17" t="s">
        <v>143</v>
      </c>
      <c r="C10" s="185"/>
      <c r="D10" s="215">
        <f ca="1">Dashboard!C12</f>
        <v>0.06</v>
      </c>
      <c r="E10" s="18">
        <f ca="1">IF(E4="","",D10)</f>
        <v>0.06</v>
      </c>
      <c r="F10" s="18" t="str">
        <f>IF(F4="","",D10)</f>
        <v/>
      </c>
      <c r="G10" s="221">
        <f ca="1">Dashboard!C12</f>
        <v>0.06</v>
      </c>
      <c r="H10" s="61"/>
      <c r="I10" s="56"/>
      <c r="J10" s="56"/>
    </row>
    <row r="11" spans="1:10" ht="15.75" customHeight="1" thickBot="1">
      <c r="B11" s="81" t="s">
        <v>144</v>
      </c>
      <c r="C11" s="111"/>
      <c r="D11" s="216">
        <f ca="1">IF(D4="","",1+D10)</f>
        <v>1.06</v>
      </c>
      <c r="E11" s="217">
        <f ca="1">IF(E4="","",(1+D10)*(1+E10))</f>
        <v>1.1236000000000002</v>
      </c>
      <c r="F11" s="217" t="str">
        <f>IF(F4="","",(1+D10)*(1+E10)*(1+F10))</f>
        <v/>
      </c>
      <c r="G11" s="222">
        <f ca="1">IF(F4="",IF(E4="",D11,E11),F11)*(1+G10)</f>
        <v>1.1910160000000003</v>
      </c>
      <c r="H11" s="61"/>
      <c r="I11" s="56"/>
      <c r="J11" s="56"/>
    </row>
    <row r="12" spans="1:10" ht="15.75" customHeight="1" thickTop="1">
      <c r="B12" s="8" t="s">
        <v>281</v>
      </c>
      <c r="C12" s="334"/>
      <c r="D12" s="190">
        <f ca="1">IF(D9="","",D9/D11)</f>
        <v>0.20668771437278388</v>
      </c>
      <c r="E12" s="191">
        <f ca="1">IF(E9="","",E9/E11)</f>
        <v>0.35093105154472554</v>
      </c>
      <c r="F12" s="191" t="str">
        <f>IF(F9="","",F9/F11)</f>
        <v/>
      </c>
      <c r="G12" s="336"/>
      <c r="H12" s="78"/>
      <c r="I12" s="55"/>
      <c r="J12" s="55"/>
    </row>
    <row r="13" spans="1:10" ht="15.75" customHeight="1">
      <c r="F13" s="6"/>
      <c r="G13" s="112"/>
    </row>
    <row r="14" spans="1:10" ht="15.75" customHeight="1">
      <c r="B14" s="349" t="s">
        <v>212</v>
      </c>
      <c r="C14" s="189" t="str">
        <f>B3</f>
        <v>(Numbers in 1000HKD)</v>
      </c>
      <c r="E14" s="70" t="s">
        <v>213</v>
      </c>
    </row>
    <row r="15" spans="1:10" ht="15.75" customHeight="1">
      <c r="B15" s="57" t="s">
        <v>226</v>
      </c>
      <c r="C15" s="82">
        <f>Asset_Model!E59</f>
        <v>43640996.975659996</v>
      </c>
      <c r="D15" s="211">
        <f>C15/(Dashboard!I5/Data!C4)</f>
        <v>5.3403864615541012</v>
      </c>
      <c r="E15" s="83" t="s">
        <v>224</v>
      </c>
      <c r="G15" s="133">
        <f>C15+C16+C17+C18</f>
        <v>48234112.581060007</v>
      </c>
    </row>
    <row r="16" spans="1:10" ht="15.75" customHeight="1">
      <c r="B16" s="57" t="s">
        <v>230</v>
      </c>
      <c r="C16" s="82">
        <f>Asset_Model!E58</f>
        <v>12100299.5754</v>
      </c>
      <c r="D16" s="211">
        <f>C16/(Dashboard!I5/Data!C4)</f>
        <v>1.4807241014511157</v>
      </c>
      <c r="E16" s="83" t="s">
        <v>310</v>
      </c>
      <c r="G16" s="192">
        <f>(G15+MIN(D4,0))*Data!C$4/Dashboard!I5</f>
        <v>5.902449981989065</v>
      </c>
    </row>
    <row r="17" spans="2:9" ht="15.75" customHeight="1">
      <c r="B17" s="57" t="s">
        <v>214</v>
      </c>
      <c r="C17" s="82">
        <f>-Asset_Model!D52</f>
        <v>-6739518.3509999998</v>
      </c>
      <c r="D17" s="211">
        <f>C17/(Dashboard!I5/Data!C4)</f>
        <v>-0.82472067673315363</v>
      </c>
      <c r="E17" s="467" t="str">
        <f>IF(F18+G18=G16,"⇒","Error!")</f>
        <v>⇒</v>
      </c>
      <c r="F17" s="142" t="s">
        <v>231</v>
      </c>
      <c r="G17" s="85" t="s">
        <v>22</v>
      </c>
    </row>
    <row r="18" spans="2:9" ht="15.75" customHeight="1">
      <c r="B18" s="83" t="s">
        <v>225</v>
      </c>
      <c r="C18" s="82">
        <f>-Asset_Model!E50</f>
        <v>-767665.61899998784</v>
      </c>
      <c r="D18" s="211">
        <f>C18/(Dashboard!I5/Data!C4)</f>
        <v>-9.3939904282997519E-2</v>
      </c>
      <c r="E18" s="467"/>
      <c r="F18" s="144">
        <f>D15+(MIN(D4,0)*Data!C$4/Dashboard!I5)</f>
        <v>5.3403864615541012</v>
      </c>
      <c r="G18" s="143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5" t="s">
        <v>215</v>
      </c>
      <c r="C20" s="189" t="str">
        <f>B3</f>
        <v>(Numbers in 1000HKD)</v>
      </c>
      <c r="E20" s="468" t="s">
        <v>220</v>
      </c>
      <c r="F20" s="468"/>
      <c r="G20" s="93"/>
    </row>
    <row r="21" spans="2:9" ht="15.75" customHeight="1">
      <c r="B21" s="124" t="str">
        <f>"TV after Year "&amp;G4</f>
        <v>TV after Year 2</v>
      </c>
      <c r="C21" s="124" t="s">
        <v>218</v>
      </c>
      <c r="D21" s="197" t="s">
        <v>211</v>
      </c>
      <c r="E21" s="280" t="s">
        <v>219</v>
      </c>
      <c r="F21" s="247" t="str">
        <f>"Equity Value ("&amp;Dashboard!I11&amp;")"</f>
        <v>Equity Value (HKD)</v>
      </c>
      <c r="G21" s="342" t="str">
        <f>"Equity Value ("&amp;Dashboard!J4&amp;")"</f>
        <v>Equity Value (HKD)</v>
      </c>
      <c r="I21" s="84" t="s">
        <v>134</v>
      </c>
    </row>
    <row r="22" spans="2:9" ht="15.75" customHeight="1">
      <c r="B22" s="29" t="s">
        <v>279</v>
      </c>
      <c r="C22" s="14">
        <f>1/D22</f>
        <v>0.16666666666666666</v>
      </c>
      <c r="D22" s="275">
        <v>6</v>
      </c>
      <c r="E22" s="200">
        <f ca="1">IF(G9&lt;0,G9,G9*D22/G11)</f>
        <v>1.9864021785550496</v>
      </c>
      <c r="F22" s="340">
        <f ca="1">E22+$G$16</f>
        <v>7.8888521605441149</v>
      </c>
      <c r="G22" s="343">
        <f ca="1">ROUND(F22*Exchange_Rate,2)</f>
        <v>7.89</v>
      </c>
      <c r="I22" s="72"/>
    </row>
    <row r="23" spans="2:9" ht="15.75" customHeight="1" thickBot="1">
      <c r="B23" s="337" t="s">
        <v>280</v>
      </c>
      <c r="C23" s="338">
        <f>1/D23</f>
        <v>0.1</v>
      </c>
      <c r="D23" s="288">
        <v>10</v>
      </c>
      <c r="E23" s="339">
        <f ca="1">IF(G9&lt;0,G9,G9*D23/G11)</f>
        <v>3.3106702975917495</v>
      </c>
      <c r="F23" s="341">
        <f ca="1">E23+$G$16</f>
        <v>9.2131202795808136</v>
      </c>
      <c r="G23" s="346">
        <f ca="1">ROUND(F23*Exchange_Rate,2)</f>
        <v>9.2100000000000009</v>
      </c>
      <c r="I23" s="72" t="s">
        <v>329</v>
      </c>
    </row>
    <row r="24" spans="2:9" ht="15.75" customHeight="1" thickTop="1">
      <c r="C24" s="6"/>
      <c r="D24" s="6"/>
      <c r="E24" s="6"/>
      <c r="F24" s="344" t="s">
        <v>331</v>
      </c>
      <c r="G24" s="345">
        <f ca="1">MIN(G22,G23)+ABS(G22-G23)*'Qualitative Analysis'!$E$64</f>
        <v>8.5325795918367344</v>
      </c>
    </row>
    <row r="25" spans="2:9" ht="15.75" customHeight="1">
      <c r="B25" s="6"/>
      <c r="C25" s="120"/>
      <c r="D25" s="120"/>
      <c r="E25" s="120"/>
      <c r="F25" s="120"/>
      <c r="G25" s="121"/>
      <c r="H25" s="6"/>
      <c r="I25" s="86"/>
    </row>
    <row r="26" spans="2:9" ht="15.75" customHeight="1">
      <c r="B26" s="25" t="s">
        <v>333</v>
      </c>
      <c r="C26" s="465" t="s">
        <v>145</v>
      </c>
      <c r="D26" s="466"/>
      <c r="E26" s="29" t="s">
        <v>210</v>
      </c>
      <c r="F26" s="29" t="s">
        <v>18</v>
      </c>
      <c r="G26" s="29"/>
      <c r="H26" s="6"/>
    </row>
    <row r="27" spans="2:9" ht="15.75" customHeight="1">
      <c r="B27" s="238" t="s">
        <v>330</v>
      </c>
      <c r="C27" s="236">
        <f ca="1">MIN(G24,Asset_Model!D7)+ABS(G24-Asset_Model!D7)*'Qualitative Analysis'!$E$8</f>
        <v>10.735099766534228</v>
      </c>
      <c r="D27" s="116" t="str">
        <f>Dashboard!J4</f>
        <v>HKD</v>
      </c>
      <c r="E27" s="117">
        <f ca="1">(C27-G16)/C9</f>
        <v>9.5814436115910357</v>
      </c>
      <c r="F27" s="154">
        <f ca="1">C27/(Data!C28*Exchange_Rate*Data!C4/Common_Shares)</f>
        <v>0.5544256444111817</v>
      </c>
      <c r="G27" s="85"/>
      <c r="H27" s="6"/>
      <c r="I27" s="72"/>
    </row>
    <row r="28" spans="2:9" ht="15.75" customHeight="1"/>
    <row r="29" spans="2:9" ht="15.75" customHeight="1">
      <c r="B29" s="349" t="s">
        <v>311</v>
      </c>
      <c r="E29" s="29" t="s">
        <v>210</v>
      </c>
      <c r="F29" s="29" t="s">
        <v>18</v>
      </c>
      <c r="I29" s="84" t="s">
        <v>134</v>
      </c>
    </row>
    <row r="30" spans="2:9" ht="15.75" customHeight="1">
      <c r="B30" s="331" t="s">
        <v>339</v>
      </c>
      <c r="C30" s="333">
        <f>Asset_Model!I3*Exchange_Rate*Data!C4/Common_Shares*0.61</f>
        <v>11.892885374148257</v>
      </c>
      <c r="D30" s="332" t="str">
        <f>D27</f>
        <v>HKD</v>
      </c>
      <c r="E30" s="117">
        <f>(C30-G16)/C9</f>
        <v>11.876924974453656</v>
      </c>
      <c r="F30" s="154">
        <f>C30/(Asset_Model!I3*Exchange_Rate*Data!C4/Common_Shares)</f>
        <v>0.61</v>
      </c>
      <c r="I30" s="72" t="s">
        <v>336</v>
      </c>
    </row>
    <row r="31" spans="2:9" ht="15.75" customHeight="1">
      <c r="B31" s="350" t="s">
        <v>311</v>
      </c>
      <c r="C31" s="348">
        <f ca="1">MIN(C30,C27)+ABS(C30-C27)*'Qualitative Analysis'!E64</f>
        <v>11.298712950757764</v>
      </c>
      <c r="D31" s="332" t="str">
        <f>D30</f>
        <v>HKD</v>
      </c>
      <c r="E31" s="117">
        <f ca="1">(C31-G16)/C9</f>
        <v>10.698890185240348</v>
      </c>
      <c r="F31" s="154">
        <f ca="1">C31/(Asset_Model!I3*Exchange_Rate*Data!C4/Common_Shares)</f>
        <v>0.57952420149814499</v>
      </c>
      <c r="I31" s="72"/>
    </row>
    <row r="32" spans="2:9" ht="15.75" customHeight="1">
      <c r="B32" s="331" t="s">
        <v>332</v>
      </c>
      <c r="C32" s="348">
        <f ca="1">IF(Asset_Model!D7&gt;C27,Asset_Model!D7,C27)/(1+Dashboard!C16)</f>
        <v>9.8640225351211033</v>
      </c>
      <c r="D32" s="332" t="str">
        <f>D30</f>
        <v>HKD</v>
      </c>
      <c r="E32" s="117">
        <f ca="1">(C32-G16)/C9</f>
        <v>7.8544040481579875</v>
      </c>
      <c r="F32" s="154">
        <f ca="1">C32/(Asset_Model!I3*Exchange_Rate*Data!C4/Common_Shares)</f>
        <v>0.50593725215776753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2"/>
      <c r="D2" s="12"/>
      <c r="E2" s="12"/>
      <c r="G2" s="70" t="s">
        <v>134</v>
      </c>
    </row>
    <row r="3" spans="1:7" ht="14">
      <c r="B3" s="6" t="s">
        <v>262</v>
      </c>
      <c r="C3" s="93"/>
      <c r="D3" s="91">
        <f>IF(E3="Strongly disagree",0,IF(E3="disagree",1,IF(E3="unclear",2,IF(E3="agree",3,4))))</f>
        <v>2</v>
      </c>
      <c r="E3" s="30" t="s">
        <v>147</v>
      </c>
      <c r="G3" s="77" t="s">
        <v>287</v>
      </c>
    </row>
    <row r="4" spans="1:7" ht="14">
      <c r="B4" s="6" t="s">
        <v>264</v>
      </c>
      <c r="C4" s="93"/>
      <c r="D4" s="91">
        <f t="shared" ref="D4" si="0">IF(E4="Strongly disagree",0,IF(E4="disagree",1,IF(E4="unclear",2,IF(E4="agree",3,4))))</f>
        <v>3</v>
      </c>
      <c r="E4" s="30" t="s">
        <v>148</v>
      </c>
      <c r="G4" s="75"/>
    </row>
    <row r="5" spans="1:7" ht="14">
      <c r="B5" s="6" t="s">
        <v>259</v>
      </c>
      <c r="C5" s="93"/>
      <c r="D5" s="91">
        <f>AVERAGE(D12:D16)</f>
        <v>1.4</v>
      </c>
      <c r="E5" s="99" t="str">
        <f>IF(D5&gt;=3.5,"Strongly agree",IF(D5&gt;=2.5,"agree",IF(D5&gt;=1.5,"unclear",IF(D5&gt;=0.5,"disagree","Strongly disagree"))))</f>
        <v>disagree</v>
      </c>
      <c r="G5" s="75"/>
    </row>
    <row r="6" spans="1:7" ht="14">
      <c r="B6" s="6" t="s">
        <v>260</v>
      </c>
      <c r="C6" s="93"/>
      <c r="D6" s="91">
        <f>AVERAGE(D24:D28)</f>
        <v>3.2</v>
      </c>
      <c r="E6" s="99" t="str">
        <f>IF(D6&gt;=3.5,"Strongly agree",IF(D6&gt;=2.5,"agree",IF(D6&gt;=1.5,"unclear",IF(D6&gt;=0.5,"disagree","Strongly disagree"))))</f>
        <v>agree</v>
      </c>
      <c r="G6" s="75"/>
    </row>
    <row r="7" spans="1:7" ht="14">
      <c r="B7" s="6" t="s">
        <v>261</v>
      </c>
      <c r="C7" s="93"/>
      <c r="D7" s="97">
        <f>IF(E7="Strongly disagree",0,IF(E7="disagree",1,IF(E7="unclear",2,IF(E7="agree",3,4))))</f>
        <v>2</v>
      </c>
      <c r="E7" s="98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4" t="s">
        <v>149</v>
      </c>
      <c r="C8" s="93"/>
      <c r="D8" s="91">
        <f>AVERAGE(D3:D7)</f>
        <v>2.3200000000000003</v>
      </c>
      <c r="E8" s="95">
        <f>D8/4</f>
        <v>0.58000000000000007</v>
      </c>
      <c r="G8" s="75"/>
    </row>
    <row r="9" spans="1:7" ht="14">
      <c r="B9" s="93"/>
      <c r="C9" s="93"/>
      <c r="E9" s="6"/>
      <c r="G9" s="75"/>
    </row>
    <row r="10" spans="1:7" ht="15" customHeight="1">
      <c r="A10" s="4"/>
      <c r="B10" s="11" t="s">
        <v>150</v>
      </c>
      <c r="C10" s="20"/>
      <c r="D10" s="20"/>
      <c r="E10" s="12"/>
      <c r="G10" s="272"/>
    </row>
    <row r="11" spans="1:7" ht="15" customHeight="1">
      <c r="B11" s="96" t="s">
        <v>151</v>
      </c>
      <c r="C11" s="90"/>
      <c r="E11" s="6"/>
      <c r="G11" s="272"/>
    </row>
    <row r="12" spans="1:7" ht="15" customHeight="1">
      <c r="B12" s="52" t="s">
        <v>263</v>
      </c>
      <c r="D12" s="97">
        <f>IF(E12="Strongly disagree",0,IF(E12="disagree",1,IF(E12="unclear",2,IF(E12="agree",3,4))))</f>
        <v>1</v>
      </c>
      <c r="E12" s="30" t="s">
        <v>155</v>
      </c>
      <c r="F12" s="6"/>
      <c r="G12" s="272"/>
    </row>
    <row r="13" spans="1:7" ht="15" customHeight="1">
      <c r="B13" s="52" t="s">
        <v>152</v>
      </c>
      <c r="D13" s="97">
        <f>IF(E13="Strongly disagree",0,IF(E13="disagree",1,IF(E13="unclear",2,IF(E13="agree",3,4))))</f>
        <v>2</v>
      </c>
      <c r="E13" s="30" t="s">
        <v>147</v>
      </c>
      <c r="F13" s="6"/>
      <c r="G13" s="272"/>
    </row>
    <row r="14" spans="1:7" ht="15" customHeight="1">
      <c r="B14" s="52" t="s">
        <v>153</v>
      </c>
      <c r="D14" s="97">
        <f>IF(E14="Strongly disagree",0,IF(E14="disagree",1,IF(E14="unclear",2,IF(E14="agree",3,4))))</f>
        <v>0</v>
      </c>
      <c r="E14" s="30" t="s">
        <v>170</v>
      </c>
      <c r="F14" s="6"/>
      <c r="G14" s="272" t="s">
        <v>340</v>
      </c>
    </row>
    <row r="15" spans="1:7" ht="15" customHeight="1">
      <c r="B15" s="52" t="s">
        <v>154</v>
      </c>
      <c r="D15" s="97">
        <f>IF(E15="Strongly disagree",0,IF(E15="disagree",1,IF(E15="unclear",2,IF(E15="agree",3,4))))</f>
        <v>0</v>
      </c>
      <c r="E15" s="30" t="s">
        <v>170</v>
      </c>
      <c r="F15" s="6"/>
      <c r="G15" s="272" t="s">
        <v>341</v>
      </c>
    </row>
    <row r="16" spans="1:7" ht="15" customHeight="1">
      <c r="B16" s="52" t="s">
        <v>156</v>
      </c>
      <c r="D16" s="97">
        <f>IF(E16="Strongly disagree",0,IF(E16="disagree",1,IF(E16="unclear",2,IF(E16="agree",3,4))))</f>
        <v>4</v>
      </c>
      <c r="E16" s="30" t="s">
        <v>157</v>
      </c>
      <c r="F16" s="6"/>
      <c r="G16" s="272"/>
    </row>
    <row r="17" spans="2:7" ht="15" customHeight="1">
      <c r="B17" s="96" t="s">
        <v>158</v>
      </c>
      <c r="D17" s="37"/>
      <c r="E17" s="23"/>
      <c r="G17" s="272"/>
    </row>
    <row r="18" spans="2:7" ht="15" customHeight="1">
      <c r="B18" s="52" t="s">
        <v>284</v>
      </c>
      <c r="D18" s="97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72"/>
    </row>
    <row r="19" spans="2:7" ht="15" customHeight="1">
      <c r="B19" s="52" t="s">
        <v>159</v>
      </c>
      <c r="D19" s="97">
        <f t="shared" ref="D19:D22" si="1">IF(E19="Strongly disagree",0,IF(E19="disagree",1,IF(E19="unclear",2,IF(E19="agree",3,4))))</f>
        <v>2</v>
      </c>
      <c r="E19" s="30" t="s">
        <v>147</v>
      </c>
      <c r="F19" s="6"/>
      <c r="G19" s="272"/>
    </row>
    <row r="20" spans="2:7" ht="15" customHeight="1">
      <c r="B20" s="52" t="s">
        <v>160</v>
      </c>
      <c r="D20" s="97">
        <f t="shared" si="1"/>
        <v>0</v>
      </c>
      <c r="E20" s="30" t="s">
        <v>170</v>
      </c>
      <c r="F20" s="6"/>
      <c r="G20" s="272"/>
    </row>
    <row r="21" spans="2:7" ht="15" customHeight="1">
      <c r="B21" s="52" t="s">
        <v>161</v>
      </c>
      <c r="D21" s="97">
        <f t="shared" si="1"/>
        <v>0</v>
      </c>
      <c r="E21" s="30" t="s">
        <v>170</v>
      </c>
      <c r="F21" s="6"/>
      <c r="G21" s="272"/>
    </row>
    <row r="22" spans="2:7" ht="15" customHeight="1">
      <c r="B22" s="52" t="s">
        <v>162</v>
      </c>
      <c r="D22" s="97">
        <f t="shared" si="1"/>
        <v>0</v>
      </c>
      <c r="E22" s="30" t="s">
        <v>170</v>
      </c>
      <c r="F22" s="6"/>
      <c r="G22" s="272"/>
    </row>
    <row r="23" spans="2:7" ht="15" customHeight="1">
      <c r="B23" s="96" t="s">
        <v>163</v>
      </c>
      <c r="D23" s="37"/>
      <c r="E23" s="23"/>
      <c r="G23" s="272"/>
    </row>
    <row r="24" spans="2:7" ht="15" customHeight="1">
      <c r="B24" s="52" t="s">
        <v>164</v>
      </c>
      <c r="D24" s="97">
        <f t="shared" ref="D24:D28" si="2">IF(E24="Strongly disagree",0,IF(E24="disagree",1,IF(E24="unclear",2,IF(E24="agree",3,4))))</f>
        <v>4</v>
      </c>
      <c r="E24" s="30" t="s">
        <v>157</v>
      </c>
      <c r="F24" s="6"/>
      <c r="G24" s="272"/>
    </row>
    <row r="25" spans="2:7" ht="15" customHeight="1">
      <c r="B25" s="52" t="s">
        <v>165</v>
      </c>
      <c r="D25" s="97">
        <f t="shared" si="2"/>
        <v>3</v>
      </c>
      <c r="E25" s="30" t="s">
        <v>148</v>
      </c>
      <c r="F25" s="6"/>
      <c r="G25" s="272"/>
    </row>
    <row r="26" spans="2:7" ht="15" customHeight="1">
      <c r="B26" s="52" t="s">
        <v>265</v>
      </c>
      <c r="D26" s="97">
        <f t="shared" si="2"/>
        <v>3</v>
      </c>
      <c r="E26" s="30" t="s">
        <v>148</v>
      </c>
      <c r="F26" s="6"/>
      <c r="G26" s="272"/>
    </row>
    <row r="27" spans="2:7" ht="15" customHeight="1">
      <c r="B27" s="52" t="s">
        <v>266</v>
      </c>
      <c r="D27" s="97">
        <f t="shared" si="2"/>
        <v>3</v>
      </c>
      <c r="E27" s="30" t="s">
        <v>148</v>
      </c>
      <c r="F27" s="6"/>
      <c r="G27" s="272"/>
    </row>
    <row r="28" spans="2:7" ht="15" customHeight="1">
      <c r="B28" s="52" t="s">
        <v>166</v>
      </c>
      <c r="D28" s="97">
        <f t="shared" si="2"/>
        <v>3</v>
      </c>
      <c r="E28" s="30" t="s">
        <v>148</v>
      </c>
      <c r="F28" s="6"/>
      <c r="G28" s="272"/>
    </row>
    <row r="29" spans="2:7" ht="15" customHeight="1">
      <c r="B29" s="96" t="s">
        <v>167</v>
      </c>
      <c r="D29" s="37"/>
      <c r="E29" s="23"/>
      <c r="G29" s="272"/>
    </row>
    <row r="30" spans="2:7" ht="15" customHeight="1">
      <c r="B30" s="1" t="s">
        <v>168</v>
      </c>
      <c r="D30" s="100">
        <f>SUM(D31:D35)/(5*4)</f>
        <v>0.6</v>
      </c>
      <c r="E30" s="48" t="str">
        <f>IF(D30&gt;80%,"Very High",IF(D30&lt;=20%,"Very Low",IF(D30&lt;=40%,"Low",IF(D30&lt;=60%,"Medium","High"))))</f>
        <v>Medium</v>
      </c>
      <c r="F30" s="6"/>
      <c r="G30" s="272"/>
    </row>
    <row r="31" spans="2:7" ht="15" customHeight="1">
      <c r="B31" s="52" t="s">
        <v>169</v>
      </c>
      <c r="D31" s="97">
        <f t="shared" ref="D31:D35" si="3">IF(E31="Strongly disagree",0,IF(E31="disagree",1,IF(E31="unclear",2,IF(E31="agree",3,4))))</f>
        <v>2</v>
      </c>
      <c r="E31" s="30" t="s">
        <v>147</v>
      </c>
      <c r="F31" s="6"/>
      <c r="G31" s="272"/>
    </row>
    <row r="32" spans="2:7" ht="15" customHeight="1">
      <c r="B32" s="52" t="s">
        <v>267</v>
      </c>
      <c r="D32" s="97">
        <f t="shared" si="3"/>
        <v>4</v>
      </c>
      <c r="E32" s="30" t="s">
        <v>157</v>
      </c>
      <c r="F32" s="6"/>
      <c r="G32" s="272"/>
    </row>
    <row r="33" spans="2:7" ht="15" customHeight="1">
      <c r="B33" s="52" t="s">
        <v>268</v>
      </c>
      <c r="D33" s="97">
        <f t="shared" si="3"/>
        <v>0</v>
      </c>
      <c r="E33" s="30" t="s">
        <v>170</v>
      </c>
      <c r="F33" s="6"/>
      <c r="G33" s="272"/>
    </row>
    <row r="34" spans="2:7" ht="15" customHeight="1">
      <c r="B34" s="52" t="s">
        <v>269</v>
      </c>
      <c r="D34" s="97">
        <f t="shared" si="3"/>
        <v>2</v>
      </c>
      <c r="E34" s="30" t="s">
        <v>147</v>
      </c>
      <c r="F34" s="6"/>
      <c r="G34" s="272"/>
    </row>
    <row r="35" spans="2:7" ht="15" customHeight="1">
      <c r="B35" s="52" t="s">
        <v>286</v>
      </c>
      <c r="D35" s="97">
        <f t="shared" si="3"/>
        <v>4</v>
      </c>
      <c r="E35" s="30" t="s">
        <v>157</v>
      </c>
      <c r="G35" s="272"/>
    </row>
    <row r="36" spans="2:7" ht="15" customHeight="1">
      <c r="B36" s="1" t="s">
        <v>171</v>
      </c>
      <c r="D36" s="100">
        <f>SUM(D37:D41)/(5*4)</f>
        <v>0.2</v>
      </c>
      <c r="E36" s="48" t="str">
        <f>IF(D36&gt;80%,"Very High",IF(D36&lt;=20%,"Very Low",IF(D36&lt;=40%,"Low",IF(D36&lt;=60%,"Medium","High"))))</f>
        <v>Very Low</v>
      </c>
      <c r="F36" s="6"/>
      <c r="G36" s="272"/>
    </row>
    <row r="37" spans="2:7" ht="15" customHeight="1">
      <c r="B37" s="52" t="s">
        <v>172</v>
      </c>
      <c r="D37" s="97">
        <f t="shared" ref="D37:D41" si="4">IF(E37="Strongly disagree",0,IF(E37="disagree",1,IF(E37="unclear",2,IF(E37="agree",3,4))))</f>
        <v>1</v>
      </c>
      <c r="E37" s="30" t="s">
        <v>155</v>
      </c>
      <c r="F37" s="6"/>
      <c r="G37" s="272"/>
    </row>
    <row r="38" spans="2:7" ht="15" customHeight="1">
      <c r="B38" s="52" t="s">
        <v>270</v>
      </c>
      <c r="D38" s="97">
        <f t="shared" si="4"/>
        <v>1</v>
      </c>
      <c r="E38" s="30" t="s">
        <v>155</v>
      </c>
      <c r="F38" s="6"/>
      <c r="G38" s="272"/>
    </row>
    <row r="39" spans="2:7" ht="15" customHeight="1">
      <c r="B39" s="52" t="s">
        <v>271</v>
      </c>
      <c r="D39" s="97">
        <f t="shared" si="4"/>
        <v>1</v>
      </c>
      <c r="E39" s="30" t="s">
        <v>155</v>
      </c>
      <c r="F39" s="6"/>
      <c r="G39" s="272"/>
    </row>
    <row r="40" spans="2:7" ht="15" customHeight="1">
      <c r="B40" s="52" t="s">
        <v>272</v>
      </c>
      <c r="D40" s="97">
        <f t="shared" si="4"/>
        <v>0</v>
      </c>
      <c r="E40" s="30" t="s">
        <v>170</v>
      </c>
      <c r="F40" s="6"/>
      <c r="G40" s="272"/>
    </row>
    <row r="41" spans="2:7" ht="15" customHeight="1">
      <c r="B41" s="52" t="s">
        <v>273</v>
      </c>
      <c r="D41" s="97">
        <f t="shared" si="4"/>
        <v>1</v>
      </c>
      <c r="E41" s="30" t="s">
        <v>155</v>
      </c>
      <c r="G41" s="272"/>
    </row>
    <row r="42" spans="2:7" ht="15" customHeight="1">
      <c r="B42" s="1" t="s">
        <v>173</v>
      </c>
      <c r="D42" s="100">
        <f>SUM(D43:D48)/(6*4)</f>
        <v>0.58333333333333337</v>
      </c>
      <c r="E42" s="48" t="str">
        <f>IF(D42&gt;80%,"Very High",IF(D42&lt;=20%,"Very Low",IF(D42&lt;=40%,"Low",IF(D42&lt;=60%,"Medium","High"))))</f>
        <v>Medium</v>
      </c>
      <c r="F42" s="6"/>
      <c r="G42" s="272"/>
    </row>
    <row r="43" spans="2:7" ht="15" customHeight="1">
      <c r="B43" s="52" t="s">
        <v>174</v>
      </c>
      <c r="D43" s="97">
        <f t="shared" ref="D43:D48" si="5">IF(E43="Strongly disagree",0,IF(E43="disagree",1,IF(E43="unclear",2,IF(E43="agree",3,4))))</f>
        <v>2</v>
      </c>
      <c r="E43" s="30" t="s">
        <v>147</v>
      </c>
      <c r="F43" s="6"/>
      <c r="G43" s="272"/>
    </row>
    <row r="44" spans="2:7" ht="15" customHeight="1">
      <c r="B44" s="52" t="s">
        <v>175</v>
      </c>
      <c r="D44" s="97">
        <f t="shared" si="5"/>
        <v>4</v>
      </c>
      <c r="E44" s="30" t="s">
        <v>157</v>
      </c>
      <c r="F44" s="6"/>
      <c r="G44" s="272"/>
    </row>
    <row r="45" spans="2:7" ht="15" customHeight="1">
      <c r="B45" s="52" t="s">
        <v>176</v>
      </c>
      <c r="D45" s="97">
        <f t="shared" si="5"/>
        <v>4</v>
      </c>
      <c r="E45" s="30" t="s">
        <v>157</v>
      </c>
      <c r="F45" s="6"/>
      <c r="G45" s="272"/>
    </row>
    <row r="46" spans="2:7" ht="15" customHeight="1">
      <c r="B46" s="52" t="s">
        <v>177</v>
      </c>
      <c r="D46" s="97">
        <f t="shared" si="5"/>
        <v>0</v>
      </c>
      <c r="E46" s="30" t="s">
        <v>170</v>
      </c>
      <c r="F46" s="6"/>
      <c r="G46" s="272"/>
    </row>
    <row r="47" spans="2:7" ht="15" customHeight="1">
      <c r="B47" s="52" t="s">
        <v>178</v>
      </c>
      <c r="D47" s="97">
        <f t="shared" si="5"/>
        <v>4</v>
      </c>
      <c r="E47" s="30" t="s">
        <v>157</v>
      </c>
      <c r="F47" s="6"/>
      <c r="G47" s="272"/>
    </row>
    <row r="48" spans="2:7" ht="15" customHeight="1">
      <c r="B48" s="52" t="s">
        <v>204</v>
      </c>
      <c r="D48" s="97">
        <f t="shared" si="5"/>
        <v>0</v>
      </c>
      <c r="E48" s="30" t="s">
        <v>170</v>
      </c>
      <c r="F48" s="6"/>
      <c r="G48" s="272"/>
    </row>
    <row r="49" spans="2:8" ht="15" customHeight="1">
      <c r="B49" s="1" t="s">
        <v>179</v>
      </c>
      <c r="D49" s="100">
        <f>SUM(D50:D54)/(5*4)</f>
        <v>0.29727891156462583</v>
      </c>
      <c r="E49" s="48" t="str">
        <f>IF(D49&gt;80%,"Very High",IF(D49&lt;=20%,"Very Low",IF(D49&lt;=40%,"Low",IF(D49&lt;=60%,"Medium","High"))))</f>
        <v>Low</v>
      </c>
      <c r="F49" s="6"/>
      <c r="G49" s="272"/>
    </row>
    <row r="50" spans="2:8" ht="15" customHeight="1">
      <c r="B50" s="52" t="s">
        <v>180</v>
      </c>
      <c r="D50" s="97">
        <f t="shared" ref="D50:D52" si="6">IF(E50="Strongly disagree",0,IF(E50="disagree",1,IF(E50="unclear",2,IF(E50="agree",3,4))))</f>
        <v>0</v>
      </c>
      <c r="E50" s="30" t="s">
        <v>170</v>
      </c>
      <c r="G50" s="272"/>
    </row>
    <row r="51" spans="2:8" ht="15" customHeight="1">
      <c r="B51" s="52" t="s">
        <v>181</v>
      </c>
      <c r="D51" s="97">
        <f t="shared" si="6"/>
        <v>0</v>
      </c>
      <c r="E51" s="30" t="s">
        <v>170</v>
      </c>
      <c r="F51" s="6"/>
      <c r="G51" s="272"/>
    </row>
    <row r="52" spans="2:8" ht="15" customHeight="1">
      <c r="B52" s="52" t="s">
        <v>274</v>
      </c>
      <c r="D52" s="97">
        <f t="shared" si="6"/>
        <v>0</v>
      </c>
      <c r="E52" s="30" t="s">
        <v>170</v>
      </c>
      <c r="G52" s="272"/>
    </row>
    <row r="53" spans="2:8" ht="15" customHeight="1">
      <c r="B53" s="52" t="s">
        <v>275</v>
      </c>
      <c r="D53" s="97">
        <f>IF(E53="Strongly disagree",0,IF(E53="disagree",1,IF(E53="unclear",2,IF(E53="agree",3,4))))</f>
        <v>4</v>
      </c>
      <c r="E53" s="30" t="s">
        <v>157</v>
      </c>
      <c r="F53" s="52"/>
      <c r="G53" s="272"/>
      <c r="H53" s="52"/>
    </row>
    <row r="54" spans="2:8" ht="15" customHeight="1">
      <c r="B54" s="52" t="s">
        <v>276</v>
      </c>
      <c r="D54" s="101">
        <f t="array" ref="D54">(1-INDEX(B68:E77,MATCH(E54,B68:B77,0),4))*4</f>
        <v>1.9455782312925169</v>
      </c>
      <c r="E54" s="30" t="s">
        <v>342</v>
      </c>
      <c r="F54" s="52"/>
      <c r="G54" s="272"/>
      <c r="H54" s="52"/>
    </row>
    <row r="55" spans="2:8" ht="15" customHeight="1">
      <c r="B55" s="1" t="s">
        <v>182</v>
      </c>
      <c r="D55" s="102">
        <f>SUM(D56:D61)/(6*4)</f>
        <v>0.83333333333333337</v>
      </c>
      <c r="E55" s="48" t="str">
        <f>IF(D55&gt;80%,"Very High",IF(D55&lt;=20%,"Very Low",IF(D55&lt;=40%,"Low",IF(D55&lt;=60%,"Medium","High"))))</f>
        <v>Very High</v>
      </c>
      <c r="F55" s="52"/>
      <c r="G55" s="272"/>
      <c r="H55" s="52"/>
    </row>
    <row r="56" spans="2:8" ht="15" customHeight="1">
      <c r="B56" s="52" t="s">
        <v>183</v>
      </c>
      <c r="D56" s="97">
        <f t="shared" ref="D56:D60" si="7">IF(E56="Strongly disagree",0,IF(E56="disagree",1,IF(E56="unclear",2,IF(E56="agree",3,4))))</f>
        <v>3</v>
      </c>
      <c r="E56" s="30" t="s">
        <v>148</v>
      </c>
      <c r="F56" s="52"/>
      <c r="G56" s="272"/>
      <c r="H56" s="52"/>
    </row>
    <row r="57" spans="2:8" ht="15" customHeight="1">
      <c r="B57" s="52" t="s">
        <v>184</v>
      </c>
      <c r="D57" s="97">
        <f t="shared" si="7"/>
        <v>4</v>
      </c>
      <c r="E57" s="30" t="s">
        <v>157</v>
      </c>
      <c r="F57" s="52"/>
      <c r="G57" s="272"/>
      <c r="H57" s="52"/>
    </row>
    <row r="58" spans="2:8" ht="15" customHeight="1">
      <c r="B58" s="52" t="s">
        <v>205</v>
      </c>
      <c r="D58" s="97">
        <f t="shared" si="7"/>
        <v>4</v>
      </c>
      <c r="E58" s="30" t="s">
        <v>157</v>
      </c>
      <c r="F58" s="52"/>
      <c r="G58" s="272"/>
      <c r="H58" s="52"/>
    </row>
    <row r="59" spans="2:8" ht="15" customHeight="1">
      <c r="B59" s="52" t="s">
        <v>206</v>
      </c>
      <c r="D59" s="97">
        <f t="shared" si="7"/>
        <v>4</v>
      </c>
      <c r="E59" s="30" t="s">
        <v>157</v>
      </c>
      <c r="F59" s="52"/>
      <c r="G59" s="272"/>
      <c r="H59" s="52"/>
    </row>
    <row r="60" spans="2:8" ht="15" customHeight="1">
      <c r="B60" s="52" t="s">
        <v>207</v>
      </c>
      <c r="D60" s="97">
        <f t="shared" si="7"/>
        <v>4</v>
      </c>
      <c r="E60" s="30" t="s">
        <v>157</v>
      </c>
      <c r="F60" s="52"/>
      <c r="G60" s="272"/>
      <c r="H60" s="52"/>
    </row>
    <row r="61" spans="2:8" ht="15" customHeight="1">
      <c r="B61" s="52" t="s">
        <v>208</v>
      </c>
      <c r="D61" s="97">
        <f>IF(E61="Strongly disagree",0,IF(E61="disagree",1,IF(E61="non-perishable",2,IF(E61="agree",3,4))))</f>
        <v>1</v>
      </c>
      <c r="E61" s="30" t="s">
        <v>155</v>
      </c>
      <c r="F61" s="52"/>
      <c r="G61" s="272"/>
      <c r="H61" s="52"/>
    </row>
    <row r="62" spans="2:8" ht="15" customHeight="1">
      <c r="B62" s="142" t="s">
        <v>185</v>
      </c>
      <c r="D62" s="123">
        <f>1-AVERAGE(D30,D36,D42,D49,D55)</f>
        <v>0.4972108843537415</v>
      </c>
      <c r="E62" s="48" t="str">
        <f>IF(D62&gt;80%,"Very Low",IF(D62&lt;=20%,"Very High",IF(D62&lt;=40%,"High",IF(D62&lt;=60%,"Medium","Low"))))</f>
        <v>Medium</v>
      </c>
      <c r="F62" s="52"/>
      <c r="G62" s="272"/>
      <c r="H62" s="52"/>
    </row>
    <row r="63" spans="2:8" ht="15" customHeight="1">
      <c r="D63" s="6"/>
      <c r="G63" s="272"/>
    </row>
    <row r="64" spans="2:8" ht="15" customHeight="1">
      <c r="B64" s="94" t="s">
        <v>186</v>
      </c>
      <c r="D64" s="91">
        <f>E64*4</f>
        <v>1.9472108843537415</v>
      </c>
      <c r="E64" s="122">
        <f>AVERAGE(AVERAGE(D12:D16)/4,AVERAGE(D18:D22)/4,AVERAGE(D24:D28)/4,D62)</f>
        <v>0.48680272108843536</v>
      </c>
      <c r="G64" s="272"/>
    </row>
    <row r="65" spans="2:7" ht="15" customHeight="1">
      <c r="G65" s="273"/>
    </row>
    <row r="66" spans="2:7" ht="15" customHeight="1">
      <c r="B66" s="53" t="s">
        <v>187</v>
      </c>
      <c r="C66" s="7"/>
      <c r="D66" s="7"/>
      <c r="E66" s="54"/>
    </row>
    <row r="67" spans="2:7" ht="15" customHeight="1">
      <c r="B67" s="103" t="s">
        <v>188</v>
      </c>
      <c r="C67" s="104"/>
      <c r="D67" s="104"/>
      <c r="E67" s="105"/>
    </row>
    <row r="68" spans="2:7" ht="15" customHeight="1">
      <c r="B68" s="106" t="s">
        <v>189</v>
      </c>
      <c r="C68" s="104"/>
      <c r="D68" s="104">
        <v>1</v>
      </c>
      <c r="E68" s="107">
        <f t="shared" ref="E68:E76" si="8">D68/MAX($D$68:$D$77)</f>
        <v>3.4013605442176874E-2</v>
      </c>
    </row>
    <row r="69" spans="2:7" ht="15" customHeight="1">
      <c r="B69" s="106" t="str">
        <f t="shared" ref="B69:B77" si="9">C69&amp;", "&amp;D69&amp;"y"</f>
        <v>Information Technology Like, 6.6y</v>
      </c>
      <c r="C69" s="104" t="s">
        <v>190</v>
      </c>
      <c r="D69" s="104">
        <v>6.6</v>
      </c>
      <c r="E69" s="107">
        <f t="shared" si="8"/>
        <v>0.22448979591836735</v>
      </c>
    </row>
    <row r="70" spans="2:7" ht="15" customHeight="1">
      <c r="B70" s="106" t="str">
        <f t="shared" si="9"/>
        <v>Healthcare, 11.4y</v>
      </c>
      <c r="C70" s="104" t="s">
        <v>191</v>
      </c>
      <c r="D70" s="104">
        <v>11.4</v>
      </c>
      <c r="E70" s="107">
        <f t="shared" si="8"/>
        <v>0.38775510204081637</v>
      </c>
    </row>
    <row r="71" spans="2:7" ht="15" customHeight="1">
      <c r="B71" s="106" t="str">
        <f t="shared" si="9"/>
        <v>Consumer Discretionary, 12.4y</v>
      </c>
      <c r="C71" s="104" t="s">
        <v>192</v>
      </c>
      <c r="D71" s="104">
        <v>12.4</v>
      </c>
      <c r="E71" s="107">
        <f t="shared" si="8"/>
        <v>0.42176870748299322</v>
      </c>
    </row>
    <row r="72" spans="2:7" ht="15" customHeight="1">
      <c r="B72" s="106" t="str">
        <f t="shared" si="9"/>
        <v>Consumer Staples, 15.1y</v>
      </c>
      <c r="C72" s="104" t="s">
        <v>193</v>
      </c>
      <c r="D72" s="104">
        <v>15.1</v>
      </c>
      <c r="E72" s="107">
        <f t="shared" si="8"/>
        <v>0.51360544217687076</v>
      </c>
    </row>
    <row r="73" spans="2:7" ht="15" customHeight="1">
      <c r="B73" s="106" t="str">
        <f t="shared" si="9"/>
        <v>Industrials, 15.4y</v>
      </c>
      <c r="C73" s="104" t="s">
        <v>194</v>
      </c>
      <c r="D73" s="104">
        <v>15.4</v>
      </c>
      <c r="E73" s="107">
        <f t="shared" si="8"/>
        <v>0.52380952380952384</v>
      </c>
    </row>
    <row r="74" spans="2:7" ht="15" customHeight="1">
      <c r="B74" s="106" t="str">
        <f t="shared" si="9"/>
        <v>Telecommunication Services, 16.1y</v>
      </c>
      <c r="C74" s="104" t="s">
        <v>195</v>
      </c>
      <c r="D74" s="104">
        <v>16.100000000000001</v>
      </c>
      <c r="E74" s="107">
        <f t="shared" si="8"/>
        <v>0.54761904761904767</v>
      </c>
    </row>
    <row r="75" spans="2:7" ht="15" customHeight="1">
      <c r="B75" s="106" t="str">
        <f t="shared" si="9"/>
        <v>Energy, 17.6y</v>
      </c>
      <c r="C75" s="104" t="s">
        <v>196</v>
      </c>
      <c r="D75" s="104">
        <v>17.600000000000001</v>
      </c>
      <c r="E75" s="107">
        <f t="shared" si="8"/>
        <v>0.59863945578231303</v>
      </c>
    </row>
    <row r="76" spans="2:7" ht="15" customHeight="1">
      <c r="B76" s="106" t="str">
        <f t="shared" si="9"/>
        <v>Materials, 18.6y</v>
      </c>
      <c r="C76" s="104" t="s">
        <v>197</v>
      </c>
      <c r="D76" s="104">
        <v>18.600000000000001</v>
      </c>
      <c r="E76" s="107">
        <f t="shared" si="8"/>
        <v>0.63265306122448983</v>
      </c>
    </row>
    <row r="77" spans="2:7" ht="15" customHeight="1">
      <c r="B77" s="108" t="str">
        <f t="shared" si="9"/>
        <v>Utilities, 29.4y</v>
      </c>
      <c r="C77" s="109" t="s">
        <v>198</v>
      </c>
      <c r="D77" s="109">
        <v>29.4</v>
      </c>
      <c r="E77" s="110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