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8A5F1197-B9D0-44B6-9F7A-1D3272A84B61}" xr6:coauthVersionLast="47" xr6:coauthVersionMax="47" xr10:uidLastSave="{00000000-0000-0000-0000-000000000000}"/>
  <bookViews>
    <workbookView xWindow="35250" yWindow="4110" windowWidth="8625" windowHeight="4635" activeTab="1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M52" i="2" l="1"/>
  <c r="L52" i="2"/>
  <c r="K52" i="2"/>
  <c r="J52" i="2"/>
  <c r="I52" i="2"/>
  <c r="H52" i="2"/>
  <c r="G52" i="2"/>
  <c r="F52" i="2"/>
  <c r="I51" i="2"/>
  <c r="M50" i="2"/>
  <c r="L50" i="2"/>
  <c r="K50" i="2"/>
  <c r="J50" i="2"/>
  <c r="I50" i="2"/>
  <c r="H50" i="2"/>
  <c r="G50" i="2"/>
  <c r="F50" i="2"/>
  <c r="E50" i="2"/>
  <c r="D50" i="2"/>
  <c r="C50" i="2"/>
  <c r="M49" i="2"/>
  <c r="L49" i="2"/>
  <c r="K49" i="2"/>
  <c r="J49" i="2"/>
  <c r="I49" i="2"/>
  <c r="H49" i="2"/>
  <c r="G49" i="2"/>
  <c r="F49" i="2"/>
  <c r="E49" i="2"/>
  <c r="D49" i="2"/>
  <c r="C49" i="2"/>
  <c r="M48" i="2"/>
  <c r="M51" i="2" s="1"/>
  <c r="L48" i="2"/>
  <c r="L51" i="2" s="1"/>
  <c r="K48" i="2"/>
  <c r="K51" i="2" s="1"/>
  <c r="J48" i="2"/>
  <c r="J51" i="2" s="1"/>
  <c r="I48" i="2"/>
  <c r="H48" i="2"/>
  <c r="H51" i="2" s="1"/>
  <c r="G48" i="2"/>
  <c r="G51" i="2" s="1"/>
  <c r="F48" i="2"/>
  <c r="F51" i="2" s="1"/>
  <c r="E48" i="2"/>
  <c r="E51" i="2" s="1"/>
  <c r="E52" i="2" s="1"/>
  <c r="D48" i="2"/>
  <c r="D51" i="2" s="1"/>
  <c r="D52" i="2" s="1"/>
  <c r="C48" i="2"/>
  <c r="C51" i="2" s="1"/>
  <c r="C52" i="2" s="1"/>
  <c r="C30" i="4" l="1"/>
  <c r="C13" i="7"/>
  <c r="E13" i="7" s="1"/>
  <c r="E12" i="7" s="1"/>
  <c r="E11" i="3"/>
  <c r="E12" i="3"/>
  <c r="C9" i="7"/>
  <c r="C37" i="1"/>
  <c r="B16" i="1"/>
  <c r="I32" i="3" l="1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C12" i="1"/>
  <c r="F42" i="1"/>
  <c r="D33" i="2"/>
  <c r="D34" i="2" s="1"/>
  <c r="E6" i="1"/>
  <c r="C3" i="7" s="1"/>
  <c r="E28" i="1"/>
  <c r="E7" i="3"/>
  <c r="C23" i="4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F34" i="2"/>
  <c r="F35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2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C25" i="3"/>
  <c r="I7" i="3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4" i="2" s="1"/>
  <c r="K14" i="2"/>
  <c r="J15" i="2" s="1"/>
  <c r="M12" i="2"/>
  <c r="M10" i="2"/>
  <c r="L10" i="2"/>
  <c r="K10" i="2"/>
  <c r="H10" i="2"/>
  <c r="G10" i="2"/>
  <c r="D10" i="2"/>
  <c r="L14" i="2"/>
  <c r="L44" i="2" s="1"/>
  <c r="J14" i="2"/>
  <c r="J13" i="2" s="1"/>
  <c r="I10" i="2"/>
  <c r="H14" i="2"/>
  <c r="H44" i="2" s="1"/>
  <c r="G14" i="2"/>
  <c r="G16" i="2" s="1"/>
  <c r="G45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J16" i="2"/>
  <c r="J45" i="2" s="1"/>
  <c r="J44" i="2"/>
  <c r="C46" i="2"/>
  <c r="G12" i="2"/>
  <c r="D14" i="2"/>
  <c r="D16" i="2" s="1"/>
  <c r="H12" i="2"/>
  <c r="L12" i="2"/>
  <c r="F10" i="2"/>
  <c r="J10" i="2"/>
  <c r="J12" i="2"/>
  <c r="E14" i="2"/>
  <c r="E13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K15" i="2" l="1"/>
  <c r="K13" i="2"/>
  <c r="K16" i="2"/>
  <c r="K45" i="2" s="1"/>
  <c r="L13" i="2"/>
  <c r="K44" i="2"/>
  <c r="G15" i="2"/>
  <c r="L16" i="2"/>
  <c r="L45" i="2" s="1"/>
  <c r="M13" i="2"/>
  <c r="L15" i="2"/>
  <c r="M16" i="2"/>
  <c r="M45" i="2" s="1"/>
  <c r="I15" i="2"/>
  <c r="I44" i="2"/>
  <c r="H15" i="2"/>
  <c r="H13" i="2"/>
  <c r="I13" i="2"/>
  <c r="H16" i="2"/>
  <c r="H45" i="2" s="1"/>
  <c r="G44" i="2"/>
  <c r="F15" i="2"/>
  <c r="G13" i="2"/>
  <c r="D6" i="7"/>
  <c r="D4" i="7"/>
  <c r="D5" i="7"/>
  <c r="D36" i="5"/>
  <c r="E36" i="5" s="1"/>
  <c r="D6" i="5"/>
  <c r="E6" i="5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E30" i="5"/>
  <c r="C10" i="7"/>
  <c r="E10" i="7" s="1"/>
  <c r="E9" i="7" s="1"/>
  <c r="E7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6" i="7" l="1"/>
  <c r="F4" i="7"/>
  <c r="F5" i="7"/>
  <c r="E11" i="7"/>
  <c r="E16" i="7" s="1"/>
  <c r="G15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5" i="1"/>
  <c r="C38" i="1"/>
  <c r="D3" i="4"/>
  <c r="G3" i="7"/>
  <c r="E3" i="4" s="1"/>
  <c r="G4" i="4" s="1"/>
  <c r="B21" i="4" s="1"/>
  <c r="G2" i="4" s="1"/>
  <c r="E8" i="7"/>
  <c r="C19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D11" i="4"/>
  <c r="F18" i="4"/>
  <c r="E4" i="4"/>
  <c r="G18" i="7"/>
  <c r="D5" i="4"/>
  <c r="G16" i="4"/>
  <c r="E30" i="4" s="1"/>
  <c r="E18" i="5"/>
  <c r="D64" i="5"/>
  <c r="E7" i="5" s="1"/>
  <c r="D7" i="5" s="1"/>
  <c r="D8" i="5" s="1"/>
  <c r="E8" i="5" s="1"/>
  <c r="F43" i="1"/>
  <c r="D6" i="3" l="1"/>
  <c r="D7" i="3" s="1"/>
  <c r="D7" i="4"/>
  <c r="D8" i="4" s="1"/>
  <c r="D9" i="4" s="1"/>
  <c r="D12" i="4" s="1"/>
  <c r="E8" i="4"/>
  <c r="G9" i="4" s="1"/>
  <c r="E17" i="4"/>
  <c r="F16" i="1"/>
  <c r="H16" i="1" s="1"/>
  <c r="E5" i="4"/>
  <c r="E10" i="4"/>
  <c r="F41" i="1"/>
  <c r="E6" i="3" l="1"/>
  <c r="E11" i="4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s="1"/>
  <c r="C31" i="4" s="1"/>
  <c r="C32" i="4" l="1"/>
  <c r="I37" i="1" l="1"/>
  <c r="D18" i="1" s="1"/>
  <c r="E14" i="1"/>
  <c r="E27" i="4"/>
  <c r="F27" i="4"/>
  <c r="F47" i="1" l="1"/>
  <c r="F50" i="1" s="1"/>
  <c r="D16" i="1"/>
  <c r="F31" i="4"/>
  <c r="E47" i="1"/>
  <c r="E50" i="1" s="1"/>
  <c r="E31" i="4"/>
  <c r="E48" i="1"/>
  <c r="F48" i="1"/>
  <c r="F32" i="4"/>
  <c r="E32" i="4"/>
  <c r="I38" i="1"/>
  <c r="B17" i="1" s="1"/>
  <c r="D17" i="1" s="1"/>
  <c r="F52" i="1" l="1"/>
  <c r="F51" i="1"/>
  <c r="E52" i="1"/>
  <c r="E51" i="1"/>
  <c r="H17" i="1"/>
  <c r="J17" i="1"/>
  <c r="F53" i="1" l="1"/>
  <c r="E53" i="1"/>
</calcChain>
</file>

<file path=xl/sharedStrings.xml><?xml version="1.0" encoding="utf-8"?>
<sst xmlns="http://schemas.openxmlformats.org/spreadsheetml/2006/main" count="421" uniqueCount="351">
  <si>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</si>
  <si>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</si>
  <si>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</si>
  <si>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</si>
  <si>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</si>
  <si>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</si>
  <si>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</si>
  <si>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</si>
  <si>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</si>
  <si>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</si>
  <si>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</si>
  <si>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</si>
  <si>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</si>
  <si>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</si>
  <si>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</si>
  <si>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</si>
  <si>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</si>
  <si>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</si>
  <si>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</si>
  <si>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</si>
  <si>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</si>
  <si>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</si>
  <si>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</si>
  <si>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</si>
  <si>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</si>
  <si>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</si>
  <si>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</si>
  <si>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</si>
  <si>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</si>
  <si>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</si>
  <si>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</si>
  <si>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</si>
  <si>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</si>
  <si>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</si>
  <si>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</si>
  <si>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</si>
  <si>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</si>
  <si>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</si>
  <si>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</si>
  <si>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</si>
  <si>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</si>
  <si>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</si>
  <si>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</si>
  <si>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</si>
  <si>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</si>
  <si>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</si>
  <si>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</si>
  <si>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</si>
  <si>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</si>
  <si>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</si>
  <si>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</si>
  <si>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</si>
  <si>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</si>
  <si>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</si>
  <si>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</si>
  <si>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</si>
  <si>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</si>
  <si>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</si>
  <si>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</si>
  <si>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</si>
  <si>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</si>
  <si>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</si>
  <si>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</si>
  <si>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</si>
  <si>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</si>
  <si>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</si>
  <si>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</si>
  <si>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</si>
  <si>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</si>
  <si>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</si>
  <si>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</si>
  <si>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</si>
  <si>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</si>
  <si>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</si>
  <si>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</si>
  <si>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</si>
  <si>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</si>
  <si>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</si>
  <si>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</si>
  <si>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</si>
  <si>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</si>
  <si>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</si>
  <si>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</si>
  <si>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</si>
  <si>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</si>
  <si>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</si>
  <si>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</si>
  <si>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</si>
  <si>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</si>
  <si>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</si>
  <si>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</si>
  <si>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</si>
  <si>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</si>
  <si>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</si>
  <si>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</si>
  <si>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</si>
  <si>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</si>
  <si>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</si>
  <si>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</si>
  <si>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</si>
  <si>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</si>
  <si>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</si>
  <si>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</si>
  <si>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</si>
  <si>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</si>
  <si>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</si>
  <si>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</si>
  <si>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</si>
  <si>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</si>
  <si>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</si>
  <si>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</si>
  <si>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</si>
  <si>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</si>
  <si>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</si>
  <si>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</si>
  <si>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</si>
  <si>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</si>
  <si>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</si>
  <si>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</si>
  <si>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</si>
  <si>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</si>
  <si>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</si>
  <si>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</si>
  <si>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</si>
  <si>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</si>
  <si>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</si>
  <si>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</si>
  <si>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</si>
  <si>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</si>
  <si>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</si>
  <si>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</si>
  <si>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</si>
  <si>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</si>
  <si>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</si>
  <si>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</si>
  <si>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</si>
  <si>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</si>
  <si>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</si>
  <si>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</si>
  <si>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</si>
  <si>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</si>
  <si>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</si>
  <si>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</si>
  <si>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</si>
  <si>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</si>
  <si>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</si>
  <si>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</si>
  <si>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</si>
  <si>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</si>
  <si>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</si>
  <si>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</si>
  <si>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</si>
  <si>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</si>
  <si>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</si>
  <si>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</si>
  <si>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</si>
  <si>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</si>
  <si>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</si>
  <si>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</si>
  <si>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</si>
  <si>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</si>
  <si>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</si>
  <si>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</si>
  <si>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</si>
  <si>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</si>
  <si>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</si>
  <si>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</si>
  <si>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</si>
  <si>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</si>
  <si>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</si>
  <si>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</si>
  <si>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</si>
  <si>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</si>
  <si>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</si>
  <si>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</si>
  <si>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</si>
  <si>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</si>
  <si>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</si>
  <si>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</si>
  <si>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</si>
  <si>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</si>
  <si>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</si>
  <si>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</si>
  <si>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</si>
  <si>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</si>
  <si>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</si>
  <si>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</si>
  <si>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</si>
  <si>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</si>
  <si>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</si>
  <si>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</si>
  <si>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</si>
  <si>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</si>
  <si>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</si>
  <si>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</si>
  <si>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</si>
  <si>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</si>
  <si>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</si>
  <si>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</si>
  <si>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</si>
  <si>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</si>
  <si>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</si>
  <si>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</si>
  <si>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</si>
  <si>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</si>
  <si>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</si>
  <si>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</si>
  <si>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</si>
  <si>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</si>
  <si>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</si>
  <si>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</si>
  <si>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</si>
  <si>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</si>
  <si>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</si>
  <si>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</si>
  <si>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</si>
  <si>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</si>
  <si>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</si>
  <si>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</si>
  <si>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</si>
  <si>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</si>
  <si>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</si>
  <si>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</si>
  <si>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</si>
  <si>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</si>
  <si>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</si>
  <si>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</si>
  <si>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</si>
  <si>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</si>
  <si>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</si>
  <si>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</si>
  <si>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</si>
  <si>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</si>
  <si>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</si>
  <si>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</si>
  <si>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</si>
  <si>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</si>
  <si>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</si>
  <si>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</si>
  <si>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</si>
  <si>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</si>
  <si>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</si>
  <si>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</si>
  <si>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</si>
  <si>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</si>
  <si>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</si>
  <si>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</si>
  <si>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</si>
  <si>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</si>
  <si>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</si>
  <si>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</si>
  <si>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</si>
  <si>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</si>
  <si>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</si>
  <si>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</si>
  <si>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</si>
  <si>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</si>
  <si>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</si>
  <si>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</si>
  <si>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</si>
  <si>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</si>
  <si>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</si>
  <si>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</si>
  <si>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</si>
  <si>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</si>
  <si>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</si>
  <si>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</si>
  <si>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</si>
  <si>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</si>
  <si>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</si>
  <si>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</si>
  <si>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</si>
  <si>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</si>
  <si>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</si>
  <si>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</si>
  <si>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</si>
  <si>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</si>
  <si>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</si>
  <si>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</si>
  <si>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</si>
  <si>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</si>
  <si>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</si>
  <si>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</si>
  <si>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</si>
  <si>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</si>
  <si>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</si>
  <si>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</si>
  <si>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</si>
  <si>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</si>
  <si>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</si>
  <si>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</si>
  <si>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</si>
  <si>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</si>
  <si>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</si>
  <si>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</si>
  <si>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</si>
  <si>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</si>
  <si>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</si>
  <si>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</si>
  <si>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</si>
  <si>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</si>
  <si>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</si>
  <si>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</si>
  <si>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</si>
  <si>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</si>
  <si>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</si>
  <si>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</si>
  <si>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</si>
  <si>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</si>
  <si>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</si>
  <si>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</si>
  <si>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</si>
  <si>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</si>
  <si>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</si>
  <si>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</si>
  <si>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</si>
  <si>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</si>
  <si>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</si>
  <si>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</si>
  <si>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</si>
  <si>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</si>
  <si>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</si>
  <si>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</si>
  <si>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</si>
  <si>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</si>
  <si>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</si>
  <si>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</si>
  <si>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</si>
  <si>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</si>
  <si>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</si>
  <si>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</si>
  <si>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</si>
  <si>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</si>
  <si>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</si>
  <si>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</si>
  <si>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</si>
  <si>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</si>
  <si>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</si>
  <si>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</si>
  <si>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</si>
  <si>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non-perishable</t>
  </si>
  <si>
    <t>What Went Wrong?</t>
  </si>
  <si>
    <t>1. 香港大众住宅楼市场基本饱和、商业物业市场低迷、办公楼(特别九龙)供应量过大
2. 内地市场低迷
3. 上半年业绩很差，预计23年6月止年报的P&amp;L数字将很难看。</t>
  </si>
  <si>
    <t>Can it be Fixed?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</si>
  <si>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我认为是短期影响，而且开关后正在恢复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</si>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</sst>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10" fontId="1" fillId="0" borderId="117" xfId="0" applyNumberFormat="1" applyFont="1" applyBorder="1" applyAlignment="1">
      <alignment horizontal="center"/>
    </xf>
    <xf numFmtId="10" fontId="1" fillId="0" borderId="118" xfId="0" applyNumberFormat="1" applyFont="1" applyBorder="1" applyAlignment="1">
      <alignment horizontal="center"/>
    </xf>
    <xf numFmtId="2" fontId="1" fillId="0" borderId="118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0" fontId="2" fillId="9" borderId="114" xfId="0" applyFont="1" applyFill="1" applyBorder="1" applyAlignment="1">
      <alignment horizontal="center" vertical="center" wrapText="1"/>
    </xf>
    <xf numFmtId="0" fontId="2" fillId="9" borderId="115" xfId="0" applyFont="1" applyFill="1" applyBorder="1" applyAlignment="1">
      <alignment horizontal="center" vertical="center" wrapText="1"/>
    </xf>
    <xf numFmtId="0" fontId="2" fillId="9" borderId="11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2" fillId="9" borderId="111" xfId="0" applyFont="1" applyFill="1" applyBorder="1" applyAlignment="1">
      <alignment horizontal="center" vertical="center" wrapText="1"/>
    </xf>
    <xf numFmtId="0" fontId="2" fillId="9" borderId="112" xfId="0" applyFont="1" applyFill="1" applyBorder="1" applyAlignment="1">
      <alignment horizontal="center" vertical="center" wrapText="1"/>
    </xf>
    <xf numFmtId="0" fontId="2" fillId="9" borderId="113" xfId="0" applyFont="1" applyFill="1" applyBorder="1" applyAlignment="1">
      <alignment horizontal="center" vertical="center" wrapText="1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zoomScaleNormal="100" workbookViewId="0">
      <selection activeCell="C30" sqref="C30:D30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84" t="s">
        <v>329</v>
      </c>
      <c r="D3" s="385"/>
      <c r="E3" s="15"/>
      <c r="G3" s="7" t="s">
        <v>2</v>
      </c>
      <c r="I3" s="396" t="s">
        <v>3</v>
      </c>
      <c r="J3" s="397"/>
    </row>
    <row r="4" spans="1:12" ht="15.75" customHeight="1">
      <c r="B4" s="5" t="s">
        <v>4</v>
      </c>
      <c r="C4" s="386" t="s">
        <v>330</v>
      </c>
      <c r="D4" s="387"/>
      <c r="E4" s="6"/>
      <c r="G4" s="5" t="s">
        <v>5</v>
      </c>
      <c r="I4" s="32">
        <v>2.8</v>
      </c>
      <c r="J4" s="33" t="s">
        <v>6</v>
      </c>
      <c r="K4" s="149"/>
    </row>
    <row r="5" spans="1:12" ht="15.75" customHeight="1">
      <c r="B5" s="5" t="s">
        <v>7</v>
      </c>
      <c r="C5" s="388">
        <v>44771</v>
      </c>
      <c r="D5" s="387"/>
      <c r="E5" s="120" t="str">
        <f ca="1">IF(C5+30&gt;=TODAY(),"Patience Premium","")</f>
        <v/>
      </c>
      <c r="G5" s="5" t="s">
        <v>8</v>
      </c>
      <c r="I5" s="398">
        <v>1826710016</v>
      </c>
      <c r="J5" s="399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00">
        <f>I4*I5/1000000</f>
        <v>5114.7880447999996</v>
      </c>
      <c r="J6" s="401"/>
      <c r="K6" s="148"/>
    </row>
    <row r="7" spans="1:12" ht="15.75" customHeight="1">
      <c r="B7" s="136" t="s">
        <v>10</v>
      </c>
      <c r="C7" s="142">
        <f>(Data!C39*Exchange_Rate)/I4</f>
        <v>2.8863561638705737E-2</v>
      </c>
      <c r="D7" s="142">
        <f>(Data!C40*Exchange_Rate)/I4</f>
        <v>1.1387764163407782E-2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>
      <c r="B10" s="3" t="s">
        <v>255</v>
      </c>
      <c r="C10" s="279" t="s">
        <v>325</v>
      </c>
      <c r="D10" s="279">
        <v>2.8999999999999998E-2</v>
      </c>
      <c r="E10" s="5"/>
      <c r="G10" s="5" t="s">
        <v>14</v>
      </c>
      <c r="I10" s="135">
        <f>I4/(Data!C28*I12*Data!C4/Common_Shares)</f>
        <v>1.1380866857030585</v>
      </c>
      <c r="J10" s="127">
        <f>IF(Asset_Model!D60/'FCFF Model'!C4&lt;0,"Negative EV",Asset_Model!D60/'FCFF Model'!C4)</f>
        <v>30.341371960909651</v>
      </c>
    </row>
    <row r="11" spans="1:12" ht="15.75" customHeight="1" thickBot="1">
      <c r="B11" s="288" t="s">
        <v>256</v>
      </c>
      <c r="C11" s="415">
        <f ca="1">C12-D10</f>
        <v>5.1000000000000004E-2</v>
      </c>
      <c r="D11" s="416"/>
      <c r="E11" s="13"/>
      <c r="G11" s="5" t="s">
        <v>15</v>
      </c>
      <c r="H11" s="6"/>
      <c r="I11" s="413" t="s">
        <v>6</v>
      </c>
      <c r="J11" s="414"/>
    </row>
    <row r="12" spans="1:12" ht="15.75" customHeight="1" thickTop="1">
      <c r="B12" s="289" t="s">
        <v>143</v>
      </c>
      <c r="C12" s="411">
        <f ca="1">IF(C10="CN",8%,6%)*IF($C$5+30&gt;=TODAY(),1.2,1)</f>
        <v>0.08</v>
      </c>
      <c r="D12" s="412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 ca="1">'FCFF Model'!C27</f>
        <v>1.973811082503208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2.8</v>
      </c>
      <c r="C16" s="432">
        <v>0.25</v>
      </c>
      <c r="D16" s="156">
        <f ca="1">I37/B16-(1+J27)</f>
        <v>-0.19750052443086652</v>
      </c>
      <c r="E16" s="405" t="s">
        <v>23</v>
      </c>
      <c r="F16" s="402">
        <f>('FCFF Model'!G16)*Exchange_Rate</f>
        <v>1.9065785589911606</v>
      </c>
      <c r="G16" s="405" t="s">
        <v>24</v>
      </c>
      <c r="H16" s="355">
        <f>B16-$F$16</f>
        <v>0.89342144100883925</v>
      </c>
      <c r="I16" s="423">
        <v>0</v>
      </c>
      <c r="J16" s="158">
        <f>I16/B16</f>
        <v>0</v>
      </c>
    </row>
    <row r="17" spans="1:10" ht="15.75" customHeight="1">
      <c r="B17" s="269">
        <f ca="1">(I37+I38)/2</f>
        <v>2.1993520214429245</v>
      </c>
      <c r="C17" s="433"/>
      <c r="D17" s="268">
        <f ca="1">I37/B17-(1+J27)</f>
        <v>7.6284334761468342E-2</v>
      </c>
      <c r="E17" s="406"/>
      <c r="F17" s="403"/>
      <c r="G17" s="406"/>
      <c r="H17" s="356">
        <f ca="1">B17-$F$16</f>
        <v>0.29277346245176394</v>
      </c>
      <c r="I17" s="424"/>
      <c r="J17" s="159">
        <f ca="1">I16/B17</f>
        <v>0</v>
      </c>
    </row>
    <row r="18" spans="1:10" ht="15.75" customHeight="1">
      <c r="B18" s="323">
        <f>C37</f>
        <v>2.2000000000000002</v>
      </c>
      <c r="C18" s="434"/>
      <c r="D18" s="157">
        <f ca="1">I37/B18-(1+J27)</f>
        <v>7.5908423451624296E-2</v>
      </c>
      <c r="E18" s="407"/>
      <c r="F18" s="404"/>
      <c r="G18" s="407"/>
      <c r="H18" s="357">
        <f>B18-$F$16</f>
        <v>0.2934214410088396</v>
      </c>
      <c r="I18" s="425"/>
      <c r="J18" s="160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91" t="s">
        <v>331</v>
      </c>
      <c r="D21" s="392"/>
      <c r="E21" s="392"/>
      <c r="F21" s="392"/>
      <c r="G21" s="392"/>
      <c r="H21" s="392"/>
      <c r="I21" s="392"/>
      <c r="J21" s="393"/>
    </row>
    <row r="22" spans="1:10" ht="52.5" customHeight="1">
      <c r="A22" s="6"/>
      <c r="B22" s="24" t="s">
        <v>27</v>
      </c>
      <c r="C22" s="409" t="s">
        <v>332</v>
      </c>
      <c r="D22" s="410"/>
      <c r="E22" s="410"/>
      <c r="F22" s="410"/>
      <c r="G22" s="409" t="s">
        <v>334</v>
      </c>
      <c r="H22" s="409"/>
      <c r="I22" s="410"/>
      <c r="J22" s="410"/>
    </row>
    <row r="23" spans="1:10" ht="52.5" customHeight="1">
      <c r="A23" s="6"/>
      <c r="B23" s="25" t="s">
        <v>28</v>
      </c>
      <c r="C23" s="394" t="s">
        <v>333</v>
      </c>
      <c r="D23" s="395"/>
      <c r="E23" s="395"/>
      <c r="F23" s="395"/>
      <c r="G23" s="394" t="s">
        <v>335</v>
      </c>
      <c r="H23" s="394"/>
      <c r="I23" s="395"/>
      <c r="J23" s="395"/>
    </row>
    <row r="24" spans="1:10" ht="52.5" customHeight="1">
      <c r="A24" s="6"/>
      <c r="B24" s="24" t="s">
        <v>341</v>
      </c>
      <c r="C24" s="435" t="s">
        <v>342</v>
      </c>
      <c r="D24" s="436"/>
      <c r="E24" s="436"/>
      <c r="F24" s="436"/>
      <c r="G24" s="436"/>
      <c r="H24" s="436"/>
      <c r="I24" s="436"/>
      <c r="J24" s="437"/>
    </row>
    <row r="25" spans="1:10" ht="52.5" customHeight="1">
      <c r="A25" s="6"/>
      <c r="B25" s="361" t="s">
        <v>343</v>
      </c>
      <c r="C25" s="370" t="s">
        <v>344</v>
      </c>
      <c r="D25" s="371"/>
      <c r="E25" s="371"/>
      <c r="F25" s="371"/>
      <c r="G25" s="371"/>
      <c r="H25" s="371"/>
      <c r="I25" s="371"/>
      <c r="J25" s="37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4">
        <v>660000</v>
      </c>
      <c r="E27" s="12"/>
      <c r="F27" s="8"/>
      <c r="G27" s="12"/>
      <c r="H27" s="360" t="s">
        <v>328</v>
      </c>
      <c r="I27" s="30"/>
      <c r="J27" s="359">
        <v>0.2</v>
      </c>
    </row>
    <row r="28" spans="1:10" ht="15.75" customHeight="1">
      <c r="B28" s="23" t="s">
        <v>31</v>
      </c>
      <c r="C28" s="389"/>
      <c r="D28" s="390"/>
      <c r="E28" s="429" t="str">
        <f>IF(C28="","","Action_Planning")</f>
        <v/>
      </c>
      <c r="F28" s="430"/>
      <c r="G28" s="430"/>
      <c r="H28" s="431"/>
      <c r="I28" s="408" t="s">
        <v>32</v>
      </c>
      <c r="J28" s="408"/>
    </row>
    <row r="29" spans="1:10" ht="15.75" customHeight="1">
      <c r="B29" s="23" t="s">
        <v>33</v>
      </c>
      <c r="C29" s="422">
        <f>C33/D27</f>
        <v>0.2</v>
      </c>
      <c r="D29" s="421"/>
      <c r="E29" s="420">
        <f>E33/D27</f>
        <v>0</v>
      </c>
      <c r="F29" s="421"/>
      <c r="G29" s="427">
        <f>G33/D27</f>
        <v>0</v>
      </c>
      <c r="H29" s="428"/>
      <c r="I29" s="426">
        <f>C29+E29+G29</f>
        <v>0.2</v>
      </c>
      <c r="J29" s="426"/>
    </row>
    <row r="30" spans="1:10" ht="15.75" customHeight="1">
      <c r="B30" s="23" t="s">
        <v>34</v>
      </c>
      <c r="C30" s="451">
        <v>60000</v>
      </c>
      <c r="D30" s="410"/>
      <c r="E30" s="451"/>
      <c r="F30" s="410"/>
      <c r="G30" s="398"/>
      <c r="H30" s="399"/>
      <c r="I30" s="441">
        <f>C30+E30+G30</f>
        <v>60000</v>
      </c>
      <c r="J30" s="441"/>
    </row>
    <row r="31" spans="1:10" ht="15.75" customHeight="1">
      <c r="B31" s="23" t="s">
        <v>35</v>
      </c>
      <c r="C31" s="452">
        <v>2.2000000000000002</v>
      </c>
      <c r="D31" s="410"/>
      <c r="E31" s="452">
        <v>2.2000000000000002</v>
      </c>
      <c r="F31" s="410"/>
      <c r="G31" s="418"/>
      <c r="H31" s="419"/>
      <c r="I31" s="417"/>
      <c r="J31" s="417"/>
    </row>
    <row r="32" spans="1:10" ht="15.75" customHeight="1">
      <c r="B32" s="23" t="s">
        <v>36</v>
      </c>
      <c r="C32" s="439">
        <f>C31*$I$5/1000000</f>
        <v>4018.7620352000004</v>
      </c>
      <c r="D32" s="447"/>
      <c r="E32" s="439">
        <f>E31*$I$5/1000000</f>
        <v>4018.7620352000004</v>
      </c>
      <c r="F32" s="447"/>
      <c r="G32" s="380">
        <f>G31*$I$5/1000000</f>
        <v>0</v>
      </c>
      <c r="H32" s="381"/>
      <c r="I32" s="438"/>
      <c r="J32" s="438"/>
    </row>
    <row r="33" spans="2:11" ht="15.75" customHeight="1">
      <c r="B33" s="2" t="s">
        <v>37</v>
      </c>
      <c r="C33" s="448">
        <f>C30*C31</f>
        <v>132000</v>
      </c>
      <c r="D33" s="449"/>
      <c r="E33" s="440">
        <f>E30*E31</f>
        <v>0</v>
      </c>
      <c r="F33" s="450"/>
      <c r="G33" s="382">
        <f>G30*G31</f>
        <v>0</v>
      </c>
      <c r="H33" s="383"/>
      <c r="I33" s="440">
        <f>C33+E33+G33</f>
        <v>132000</v>
      </c>
      <c r="J33" s="440"/>
    </row>
    <row r="34" spans="2:11" ht="15.75" customHeight="1">
      <c r="B34" s="1" t="s">
        <v>38</v>
      </c>
      <c r="C34" s="443"/>
      <c r="D34" s="444"/>
      <c r="E34" s="442">
        <f>IF(C33=0,"-",(C33+E33)/(C30+E30))</f>
        <v>2.2000000000000002</v>
      </c>
      <c r="F34" s="421"/>
      <c r="G34" s="115"/>
      <c r="H34" s="115"/>
      <c r="I34" s="442">
        <f>IF(I33=0,"",I33/I30)</f>
        <v>2.2000000000000002</v>
      </c>
      <c r="J34" s="442"/>
    </row>
    <row r="35" spans="2:11" ht="15.75" customHeight="1">
      <c r="B35" s="1" t="s">
        <v>39</v>
      </c>
      <c r="C35" s="445"/>
      <c r="D35" s="446"/>
      <c r="E35" s="439">
        <f>IF(E34="-","-",E34*$I$5/1000000)</f>
        <v>4018.7620352000004</v>
      </c>
      <c r="F35" s="447"/>
      <c r="G35" s="116"/>
      <c r="H35" s="116"/>
      <c r="I35" s="439">
        <f>IF(I34="","",I34*$I$5/1000000)</f>
        <v>4018.7620352000004</v>
      </c>
      <c r="J35" s="439"/>
    </row>
    <row r="36" spans="2:11" ht="15.75" customHeight="1"/>
    <row r="37" spans="2:11" ht="15.75" customHeight="1">
      <c r="B37" s="143" t="s">
        <v>286</v>
      </c>
      <c r="C37" s="376">
        <f>E31</f>
        <v>2.2000000000000002</v>
      </c>
      <c r="D37" s="377"/>
      <c r="G37" s="378" t="s">
        <v>317</v>
      </c>
      <c r="H37" s="379"/>
      <c r="I37" s="374">
        <f ca="1">'FCFF Model'!C31</f>
        <v>2.8069985315935737</v>
      </c>
      <c r="J37" s="375"/>
    </row>
    <row r="38" spans="2:11" ht="15.75" customHeight="1">
      <c r="B38" s="143" t="s">
        <v>318</v>
      </c>
      <c r="C38" s="376">
        <f>E34</f>
        <v>2.2000000000000002</v>
      </c>
      <c r="D38" s="377"/>
      <c r="G38" s="373" t="s">
        <v>315</v>
      </c>
      <c r="H38" s="373"/>
      <c r="I38" s="374">
        <f ca="1">'FCFF Model'!C32</f>
        <v>1.5917055112922753</v>
      </c>
      <c r="J38" s="375"/>
    </row>
    <row r="39" spans="2:11" ht="15.75" customHeight="1"/>
    <row r="40" spans="2:11" ht="15.75" customHeight="1">
      <c r="B40" s="21" t="s">
        <v>296</v>
      </c>
      <c r="G40" s="319" t="s">
        <v>134</v>
      </c>
      <c r="H40" s="130"/>
      <c r="I40" s="130"/>
      <c r="J40" s="130"/>
      <c r="K40" s="324"/>
    </row>
    <row r="41" spans="2:11" ht="15.75" customHeight="1">
      <c r="B41" s="3" t="s">
        <v>298</v>
      </c>
      <c r="F41" s="208">
        <f>'Qualitative Analysis'!E8</f>
        <v>0.64</v>
      </c>
      <c r="G41" s="331"/>
      <c r="H41" s="114"/>
      <c r="I41" s="114"/>
      <c r="J41" s="114"/>
    </row>
    <row r="42" spans="2:11" ht="15.75" customHeight="1">
      <c r="B42" s="3" t="s">
        <v>297</v>
      </c>
      <c r="F42" s="208">
        <f>80%-(5%*IF(LEFT(D20,2)="St",1,IF(LEFT(D20,2)="Sl",2,IF(LEFT(D20,2)="Cy",3,IF(LEFT(D20,2)="Fa",4,IF(LEFT(D20,2)="Tu",5,0))))))</f>
        <v>0.8</v>
      </c>
      <c r="G42" s="73"/>
      <c r="H42" s="73"/>
      <c r="I42" s="73"/>
      <c r="J42" s="73"/>
    </row>
    <row r="43" spans="2:11" ht="15.75" customHeight="1">
      <c r="B43" s="3" t="s">
        <v>303</v>
      </c>
      <c r="F43" s="329">
        <f>'Qualitative Analysis'!E64</f>
        <v>0.5228401360544217</v>
      </c>
      <c r="G43" s="331"/>
      <c r="H43" s="114"/>
      <c r="I43" s="114"/>
      <c r="J43" s="114"/>
    </row>
    <row r="44" spans="2:11" ht="15.75" customHeight="1">
      <c r="B44" s="3" t="s">
        <v>322</v>
      </c>
      <c r="F44" s="332">
        <v>0.5</v>
      </c>
      <c r="G44" s="73"/>
      <c r="H44" s="73"/>
      <c r="I44" s="73"/>
      <c r="J44" s="73"/>
    </row>
    <row r="45" spans="2:11" ht="15.75" customHeight="1">
      <c r="G45" s="114"/>
      <c r="H45" s="114"/>
      <c r="I45" s="114"/>
      <c r="J45" s="114"/>
    </row>
    <row r="46" spans="2:11" ht="15.75" customHeight="1">
      <c r="E46" s="258" t="s">
        <v>319</v>
      </c>
      <c r="F46" s="258" t="s">
        <v>320</v>
      </c>
    </row>
    <row r="47" spans="2:11" ht="15.75" customHeight="1">
      <c r="B47" s="3" t="s">
        <v>299</v>
      </c>
      <c r="E47" s="329">
        <f ca="1">I37/C31-1</f>
        <v>0.27590842345162425</v>
      </c>
      <c r="F47" s="332">
        <f ca="1">I37/C38-1</f>
        <v>0.27590842345162425</v>
      </c>
    </row>
    <row r="48" spans="2:11" ht="15.75" customHeight="1">
      <c r="B48" s="3" t="s">
        <v>300</v>
      </c>
      <c r="E48" s="329">
        <f ca="1">'FCFF Model'!C32/C31-1</f>
        <v>-0.27649749486714759</v>
      </c>
      <c r="F48" s="332">
        <f ca="1">'FCFF Model'!C32/C38-1</f>
        <v>-0.27649749486714759</v>
      </c>
    </row>
    <row r="49" spans="2:9" ht="15.75" customHeight="1"/>
    <row r="50" spans="2:9" ht="15.75" customHeight="1">
      <c r="B50" s="3" t="s">
        <v>302</v>
      </c>
      <c r="E50" s="353">
        <f ca="1">IF(E47&lt;=0,0,AVERAGE(F41:F43,1-F44,E47/J27))</f>
        <v>0.76847645066250858</v>
      </c>
      <c r="F50" s="329">
        <f ca="1">IF(F47&lt;=0,0,AVERAGE(F41:F43,1-F44,F47/J27))</f>
        <v>0.76847645066250858</v>
      </c>
      <c r="G50" s="73"/>
    </row>
    <row r="51" spans="2:9" ht="15.75" customHeight="1">
      <c r="B51" s="3" t="s">
        <v>301</v>
      </c>
      <c r="D51" s="326"/>
      <c r="E51" s="328">
        <f ca="1">IF(E48&gt;=0,100,E47/ABS(E48))</f>
        <v>0.99786952349855329</v>
      </c>
      <c r="F51" s="328">
        <f ca="1">IF(F48&gt;=0,100,F47/ABS(F48))</f>
        <v>0.99786952349855329</v>
      </c>
      <c r="G51" s="73"/>
    </row>
    <row r="52" spans="2:9" ht="15.75" customHeight="1">
      <c r="B52" s="3" t="s">
        <v>327</v>
      </c>
      <c r="E52" s="358">
        <f ca="1">MAX(J27*2/E47,1)</f>
        <v>1.4497563901673813</v>
      </c>
      <c r="F52" s="358">
        <f ca="1">MAX(J27*2/F47,1)</f>
        <v>1.4497563901673813</v>
      </c>
      <c r="G52" s="330"/>
      <c r="H52" s="84"/>
      <c r="I52" s="84"/>
    </row>
    <row r="53" spans="2:9" ht="15.75" customHeight="1">
      <c r="B53" s="3" t="s">
        <v>326</v>
      </c>
      <c r="E53" s="327">
        <f ca="1">MIN(MAX(E50-ABS((1-E50)/E51),0)/E52,H53)</f>
        <v>0.37003361141856456</v>
      </c>
      <c r="F53" s="327">
        <f ca="1">MIN(MAX(F50-ABS((1-F50)/F51),0)/F52,H53)</f>
        <v>0.37003361141856456</v>
      </c>
      <c r="G53" s="330" t="s">
        <v>304</v>
      </c>
      <c r="H53" s="77">
        <v>0.4</v>
      </c>
    </row>
    <row r="54" spans="2:9" ht="15.75" customHeight="1"/>
    <row r="55" spans="2:9" ht="15.75" customHeight="1">
      <c r="B55" s="21" t="s">
        <v>308</v>
      </c>
    </row>
    <row r="56" spans="2:9" ht="15.75" customHeight="1">
      <c r="B56" s="3" t="s">
        <v>309</v>
      </c>
    </row>
    <row r="57" spans="2:9" ht="15.75" customHeight="1">
      <c r="B57" s="3" t="s">
        <v>310</v>
      </c>
    </row>
    <row r="58" spans="2:9" ht="15.75" customHeight="1"/>
    <row r="59" spans="2:9" ht="15.75" customHeight="1">
      <c r="B59" s="3" t="s">
        <v>311</v>
      </c>
    </row>
    <row r="60" spans="2:9" ht="15.75" customHeight="1">
      <c r="B60" s="3" t="s">
        <v>323</v>
      </c>
    </row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6">
    <mergeCell ref="C33:D33"/>
    <mergeCell ref="E33:F33"/>
    <mergeCell ref="E34:F34"/>
    <mergeCell ref="C32:D32"/>
    <mergeCell ref="C30:D30"/>
    <mergeCell ref="E31:F31"/>
    <mergeCell ref="E32:F32"/>
    <mergeCell ref="E30:F30"/>
    <mergeCell ref="C31:D31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C24:J24"/>
    <mergeCell ref="I30:J30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5:J25"/>
    <mergeCell ref="G38:H38"/>
    <mergeCell ref="I38:J38"/>
    <mergeCell ref="C38:D38"/>
    <mergeCell ref="C37:D37"/>
    <mergeCell ref="I37:J37"/>
    <mergeCell ref="G37:H37"/>
    <mergeCell ref="G32:H32"/>
    <mergeCell ref="G33:H33"/>
    <mergeCell ref="I32:J32"/>
    <mergeCell ref="I35:J35"/>
    <mergeCell ref="I33:J33"/>
    <mergeCell ref="I34:J34"/>
    <mergeCell ref="C34:D34"/>
    <mergeCell ref="C35:D35"/>
    <mergeCell ref="E35:F35"/>
  </mergeCells>
  <phoneticPr fontId="31" type="noConversion"/>
  <conditionalFormatting sqref="B16">
    <cfRule type="cellIs" dxfId="18" priority="9" operator="lessThan">
      <formula>$B$18</formula>
    </cfRule>
  </conditionalFormatting>
  <conditionalFormatting sqref="C37:D38 I37:J38">
    <cfRule type="containsBlanks" priority="2">
      <formula>LEN(TRIM(C37))=0</formula>
    </cfRule>
  </conditionalFormatting>
  <conditionalFormatting sqref="C28:E28 I28 C30:G31 I30:I31">
    <cfRule type="containsBlanks" priority="26">
      <formula>LEN(TRIM(C28))=0</formula>
    </cfRule>
  </conditionalFormatting>
  <conditionalFormatting sqref="D16 D18">
    <cfRule type="cellIs" dxfId="17" priority="22" operator="lessThan">
      <formula>0</formula>
    </cfRule>
  </conditionalFormatting>
  <conditionalFormatting sqref="E14">
    <cfRule type="cellIs" dxfId="16" priority="14" operator="greaterThan">
      <formula>$B$16</formula>
    </cfRule>
  </conditionalFormatting>
  <conditionalFormatting sqref="E51:F51">
    <cfRule type="cellIs" dxfId="15" priority="5" operator="lessThan">
      <formula>1</formula>
    </cfRule>
  </conditionalFormatting>
  <conditionalFormatting sqref="E52:F52">
    <cfRule type="containsBlanks" priority="1">
      <formula>LEN(TRIM(E52))=0</formula>
    </cfRule>
  </conditionalFormatting>
  <conditionalFormatting sqref="E28:H28">
    <cfRule type="containsBlanks" dxfId="14" priority="10">
      <formula>LEN(TRIM(E28))=0</formula>
    </cfRule>
  </conditionalFormatting>
  <conditionalFormatting sqref="F16">
    <cfRule type="cellIs" dxfId="13" priority="17" operator="greaterThan">
      <formula>$B$16</formula>
    </cfRule>
  </conditionalFormatting>
  <conditionalFormatting sqref="G16">
    <cfRule type="cellIs" dxfId="12" priority="32" operator="lessThan">
      <formula>0</formula>
    </cfRule>
  </conditionalFormatting>
  <conditionalFormatting sqref="K40">
    <cfRule type="containsBlanks" priority="11">
      <formula>LEN(TRIM(K40))=0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abSelected="1" topLeftCell="A43" zoomScaleNormal="100" workbookViewId="0">
      <selection activeCell="D51" sqref="D5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-544315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43796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584543</v>
      </c>
      <c r="D7" s="35">
        <v>1281649</v>
      </c>
      <c r="E7" s="35">
        <v>2561449</v>
      </c>
      <c r="F7" s="35">
        <v>1603918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-0.54391334913069023</v>
      </c>
      <c r="D8" s="14">
        <f t="shared" si="1"/>
        <v>-0.49963907147868258</v>
      </c>
      <c r="E8" s="14">
        <f t="shared" si="1"/>
        <v>0.59699498353407088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500512</v>
      </c>
      <c r="D9" s="35">
        <v>915778</v>
      </c>
      <c r="E9" s="35">
        <v>1183731</v>
      </c>
      <c r="F9" s="35">
        <v>1208113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0.14375503598537662</v>
      </c>
      <c r="D10" s="14">
        <f t="shared" si="2"/>
        <v>0.28546895444852688</v>
      </c>
      <c r="E10" s="14">
        <f t="shared" si="2"/>
        <v>0.53786665282033719</v>
      </c>
      <c r="F10" s="14">
        <f t="shared" si="2"/>
        <v>0.24677383756526206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40235</v>
      </c>
      <c r="D11" s="35">
        <v>38420</v>
      </c>
      <c r="E11" s="35">
        <v>42886</v>
      </c>
      <c r="F11" s="35">
        <v>55024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6.8831548748338453E-2</v>
      </c>
      <c r="D12" s="14">
        <f t="shared" si="3"/>
        <v>2.9977006185000765E-2</v>
      </c>
      <c r="E12" s="14">
        <f t="shared" si="3"/>
        <v>1.6742867025656083E-2</v>
      </c>
      <c r="F12" s="14">
        <f t="shared" si="3"/>
        <v>3.4305993199153562E-2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7.4923487237038164E-2</v>
      </c>
      <c r="D13" s="14">
        <f t="shared" si="4"/>
        <v>0.25549194826352611</v>
      </c>
      <c r="E13" s="14">
        <f t="shared" si="4"/>
        <v>0.5211237857946811</v>
      </c>
      <c r="F13" s="14">
        <f t="shared" si="4"/>
        <v>0.21246784436610849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43796</v>
      </c>
      <c r="D14" s="27">
        <f t="shared" si="5"/>
        <v>327451</v>
      </c>
      <c r="E14" s="27">
        <f t="shared" si="5"/>
        <v>1334832</v>
      </c>
      <c r="F14" s="27">
        <f t="shared" si="5"/>
        <v>340781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-0.86625174453582365</v>
      </c>
      <c r="D15" s="14">
        <f t="shared" ref="D15:M15" si="6">IF(E14="","",IF(ABS(D14+E14)=ABS(D14)+ABS(E14),IF(D14&lt;0,-1,1)*(D14-E14)/E14,"Turn"))</f>
        <v>-0.75468748127105134</v>
      </c>
      <c r="E15" s="14">
        <f t="shared" si="6"/>
        <v>2.9169789395535548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43796</v>
      </c>
      <c r="D16" s="140">
        <f>IF(D14="","",D14*(1-Operation!$D$17))</f>
        <v>327451</v>
      </c>
      <c r="E16" s="140">
        <f>IF(E14="","",E14*(1-Operation!$D$17))</f>
        <v>1334832</v>
      </c>
      <c r="F16" s="140">
        <f>IF(F14="","",F14*(1-Operation!$D$17))</f>
        <v>340781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7.4923487237038164E-2</v>
      </c>
      <c r="D17" s="126">
        <f t="shared" si="7"/>
        <v>0.25549194826352611</v>
      </c>
      <c r="E17" s="126">
        <f t="shared" si="7"/>
        <v>0.5211237857946811</v>
      </c>
      <c r="F17" s="126">
        <f t="shared" si="7"/>
        <v>0.21246784436610849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5293</v>
      </c>
      <c r="D18" s="141">
        <v>3968</v>
      </c>
      <c r="E18" s="141">
        <v>3450</v>
      </c>
      <c r="F18" s="141">
        <v>5627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-544315</v>
      </c>
      <c r="D19" s="35">
        <v>457813</v>
      </c>
      <c r="E19" s="35">
        <v>1379475</v>
      </c>
      <c r="F19" s="35">
        <v>513409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-0.66812519255513869</v>
      </c>
      <c r="E20" s="14">
        <f t="shared" si="8"/>
        <v>1.6868929060456672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2035684</v>
      </c>
      <c r="D21" s="35">
        <v>1971613</v>
      </c>
      <c r="E21" s="35">
        <v>3670507</v>
      </c>
      <c r="F21" s="35">
        <v>2865345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235020</v>
      </c>
      <c r="D22" s="35">
        <v>285909</v>
      </c>
      <c r="E22" s="35">
        <v>828810</v>
      </c>
      <c r="F22" s="35">
        <v>420078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95576</v>
      </c>
      <c r="D23" s="35">
        <v>19771</v>
      </c>
      <c r="E23" s="35">
        <v>98956</v>
      </c>
      <c r="F23" s="35">
        <v>28056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19522</v>
      </c>
      <c r="D24" s="137">
        <v>19771</v>
      </c>
      <c r="E24" s="137">
        <v>12457</v>
      </c>
      <c r="F24" s="137">
        <v>28056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9661</v>
      </c>
      <c r="D25" s="35">
        <v>108512</v>
      </c>
      <c r="E25" s="35">
        <v>775</v>
      </c>
      <c r="F25" s="35">
        <v>92873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9661</v>
      </c>
      <c r="D26" s="137">
        <v>25878</v>
      </c>
      <c r="E26" s="137">
        <v>775</v>
      </c>
      <c r="F26" s="137">
        <v>12335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105237</v>
      </c>
      <c r="D27" s="27">
        <f t="shared" si="9"/>
        <v>128283</v>
      </c>
      <c r="E27" s="27">
        <f t="shared" si="9"/>
        <v>99731</v>
      </c>
      <c r="F27" s="27">
        <f t="shared" si="9"/>
        <v>120929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4494199</v>
      </c>
      <c r="D28" s="35">
        <v>5264755</v>
      </c>
      <c r="E28" s="35">
        <v>5418042</v>
      </c>
      <c r="F28" s="35">
        <v>4389444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4494199</v>
      </c>
      <c r="D29" s="137">
        <v>5264755</v>
      </c>
      <c r="E29" s="137">
        <v>5418042</v>
      </c>
      <c r="F29" s="137">
        <v>4389444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197348</v>
      </c>
      <c r="D30" s="35">
        <v>238398</v>
      </c>
      <c r="E30" s="35">
        <v>208555</v>
      </c>
      <c r="F30" s="35">
        <v>235491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1666461</v>
      </c>
      <c r="D31" s="35">
        <v>1665937</v>
      </c>
      <c r="E31" s="35">
        <v>1974408</v>
      </c>
      <c r="F31" s="35">
        <v>2200778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-0.20800818858057846</v>
      </c>
      <c r="D32" s="14">
        <f t="shared" si="10"/>
        <v>0.12518141930720894</v>
      </c>
      <c r="E32" s="14">
        <f t="shared" si="10"/>
        <v>-0.12915537867708757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-9759.4840000000004</v>
      </c>
      <c r="D33" s="236">
        <f>IF(E7="","",(D7-E7)*Asset_Model!$D$65)</f>
        <v>-17917.2</v>
      </c>
      <c r="E33" s="236">
        <f>IF(F7="","",(E7-F7)*Asset_Model!$D$65)</f>
        <v>13405.434000000001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IF(D7="","",C30-D30+C33+IF($C$55="Yes",C57,0))</f>
        <v>-50809.483999999997</v>
      </c>
      <c r="D34" s="140">
        <f>IF(E7="","",D30-E30+D33+IF($C$55="Yes",D57,0))</f>
        <v>11925.8</v>
      </c>
      <c r="E34" s="140">
        <f t="shared" ref="E34:F34" si="11">IF(F7="","",E30-F30+E33+IF($C$55="Yes",E57,0))</f>
        <v>-13530.565999999999</v>
      </c>
      <c r="F34" s="140" t="str">
        <f t="shared" si="11"/>
        <v/>
      </c>
      <c r="G34" s="140" t="str">
        <f t="shared" ref="G34" si="12">IF(H7="","",G30-H30+G33+IF($C$55="Yes",G57,0))</f>
        <v/>
      </c>
      <c r="H34" s="140" t="str">
        <f t="shared" ref="H34" si="13">IF(I7="","",H30-I30+H33+IF($C$55="Yes",H57,0))</f>
        <v/>
      </c>
      <c r="I34" s="140" t="str">
        <f t="shared" ref="I34" si="14">IF(J7="","",I30-J30+I33+IF($C$55="Yes",I57,0))</f>
        <v/>
      </c>
      <c r="J34" s="140" t="str">
        <f t="shared" ref="J34" si="15">IF(K7="","",J30-K30+J33+IF($C$55="Yes",J57,0))</f>
        <v/>
      </c>
      <c r="K34" s="140" t="str">
        <f t="shared" ref="K34" si="16">IF(L7="","",K30-L30+K33+IF($C$55="Yes",K57,0))</f>
        <v/>
      </c>
      <c r="L34" s="140" t="str">
        <f t="shared" ref="L34" si="17">IF(M7="","",L30-M30+L33+IF($C$55="Yes",L57,0))</f>
        <v/>
      </c>
      <c r="M34" s="318" t="str">
        <f t="shared" ref="M34" si="18">IF(N7="","",M30-N30+M33+IF($C$55="Yes",M57,0))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-1.1601398301214723</v>
      </c>
      <c r="D35" s="227">
        <f t="shared" si="19"/>
        <v>3.6420105603586488E-2</v>
      </c>
      <c r="E35" s="227">
        <f t="shared" si="19"/>
        <v>-1.0136531039112037E-2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147631</v>
      </c>
      <c r="D37" s="162">
        <v>630728</v>
      </c>
      <c r="E37" s="162">
        <v>408118</v>
      </c>
      <c r="F37" s="162">
        <v>111349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58246</v>
      </c>
      <c r="D38" s="161">
        <v>22027</v>
      </c>
      <c r="E38" s="161">
        <v>0</v>
      </c>
      <c r="F38" s="161">
        <v>3002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8.0817972588376058E-2</v>
      </c>
      <c r="D39" s="167">
        <f t="shared" si="20"/>
        <v>0.34528085710129486</v>
      </c>
      <c r="E39" s="167">
        <f t="shared" si="20"/>
        <v>0.22341696077939499</v>
      </c>
      <c r="F39" s="167">
        <f t="shared" si="20"/>
        <v>6.0956035180572417E-2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3.1885739657541788E-2</v>
      </c>
      <c r="D40" s="169">
        <f t="shared" si="21"/>
        <v>1.2058290482379443E-2</v>
      </c>
      <c r="E40" s="169">
        <f t="shared" si="21"/>
        <v>0</v>
      </c>
      <c r="F40" s="169">
        <f t="shared" si="21"/>
        <v>1.6433916569711304E-3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2.14966003953096E-3</v>
      </c>
      <c r="D42" s="48">
        <f t="shared" ref="D42:M42" si="22">IF(D29="","",D25/D29)</f>
        <v>2.0611025584286447E-2</v>
      </c>
      <c r="E42" s="48">
        <f t="shared" si="22"/>
        <v>1.4304060396726345E-4</v>
      </c>
      <c r="F42" s="48">
        <f t="shared" si="22"/>
        <v>2.1158260590635171E-2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2.3416186065637057E-2</v>
      </c>
      <c r="D43" s="14">
        <f t="shared" si="23"/>
        <v>2.436637602319576E-2</v>
      </c>
      <c r="E43" s="14">
        <f t="shared" si="23"/>
        <v>1.8407203192592453E-2</v>
      </c>
      <c r="F43" s="14">
        <f t="shared" si="23"/>
        <v>2.7549958491326007E-2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0.4161654171061509</v>
      </c>
      <c r="D44" s="50">
        <f t="shared" si="24"/>
        <v>2.5525673705791103</v>
      </c>
      <c r="E44" s="50">
        <f t="shared" si="24"/>
        <v>13.384323831105675</v>
      </c>
      <c r="F44" s="50">
        <f t="shared" si="24"/>
        <v>2.8180254529517321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0.12085578591652206</v>
      </c>
      <c r="D45" s="14">
        <f t="shared" si="25"/>
        <v>1.2117843585757869E-2</v>
      </c>
      <c r="E45" s="14">
        <f t="shared" si="25"/>
        <v>2.5845949153151856E-3</v>
      </c>
      <c r="F45" s="14">
        <f t="shared" si="25"/>
        <v>1.6512070802069363E-2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8.6617479363458436</v>
      </c>
      <c r="D46" s="51">
        <f t="shared" si="26"/>
        <v>6.8959459128603857</v>
      </c>
      <c r="E46" s="51">
        <f t="shared" si="26"/>
        <v>4.4286470964394731</v>
      </c>
      <c r="F46" s="51">
        <f t="shared" si="26"/>
        <v>6.8209832459686055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B47" s="363" t="s">
        <v>345</v>
      </c>
      <c r="C47" s="362"/>
      <c r="D47" s="362"/>
      <c r="E47" s="362"/>
      <c r="F47" s="362"/>
      <c r="G47" s="362"/>
      <c r="H47" s="362"/>
      <c r="I47" s="362"/>
      <c r="J47" s="362"/>
      <c r="K47" s="362"/>
      <c r="L47" s="362"/>
      <c r="M47" s="362"/>
      <c r="N47" s="6"/>
    </row>
    <row r="48" spans="1:14" ht="15.75" customHeight="1">
      <c r="A48" s="9"/>
      <c r="B48" s="165" t="s">
        <v>346</v>
      </c>
      <c r="C48" s="364">
        <f>C13</f>
        <v>7.4923487237038164E-2</v>
      </c>
      <c r="D48" s="364">
        <f>D13</f>
        <v>0.25549194826352611</v>
      </c>
      <c r="E48" s="364">
        <f t="shared" ref="E48:M48" si="27">E13</f>
        <v>0.5211237857946811</v>
      </c>
      <c r="F48" s="364">
        <f t="shared" si="27"/>
        <v>0.21246784436610849</v>
      </c>
      <c r="G48" s="364" t="str">
        <f t="shared" si="27"/>
        <v/>
      </c>
      <c r="H48" s="364" t="str">
        <f t="shared" si="27"/>
        <v/>
      </c>
      <c r="I48" s="364" t="str">
        <f t="shared" si="27"/>
        <v/>
      </c>
      <c r="J48" s="364" t="str">
        <f t="shared" si="27"/>
        <v/>
      </c>
      <c r="K48" s="364" t="str">
        <f t="shared" si="27"/>
        <v/>
      </c>
      <c r="L48" s="364" t="str">
        <f t="shared" si="27"/>
        <v/>
      </c>
      <c r="M48" s="364" t="str">
        <f t="shared" si="27"/>
        <v/>
      </c>
      <c r="N48" s="6"/>
    </row>
    <row r="49" spans="1:14" ht="15.75" customHeight="1">
      <c r="A49" s="9"/>
      <c r="B49" s="139" t="s">
        <v>347</v>
      </c>
      <c r="C49" s="365">
        <f>C7/(C29+C21+C22)</f>
        <v>8.6408186488409366E-2</v>
      </c>
      <c r="D49" s="365">
        <f>IF(D7="","",D7/(D29+D21+D22))</f>
        <v>0.17038045793846729</v>
      </c>
      <c r="E49" s="365">
        <f t="shared" ref="E49:M49" si="28">IF(E7="","",E7/(E29+E21+E22))</f>
        <v>0.25827934634613914</v>
      </c>
      <c r="F49" s="365">
        <f t="shared" si="28"/>
        <v>0.20898316544117312</v>
      </c>
      <c r="G49" s="365" t="str">
        <f t="shared" si="28"/>
        <v/>
      </c>
      <c r="H49" s="365" t="str">
        <f t="shared" si="28"/>
        <v/>
      </c>
      <c r="I49" s="365" t="str">
        <f t="shared" si="28"/>
        <v/>
      </c>
      <c r="J49" s="365" t="str">
        <f t="shared" si="28"/>
        <v/>
      </c>
      <c r="K49" s="365" t="str">
        <f t="shared" si="28"/>
        <v/>
      </c>
      <c r="L49" s="365" t="str">
        <f t="shared" si="28"/>
        <v/>
      </c>
      <c r="M49" s="365" t="str">
        <f t="shared" si="28"/>
        <v/>
      </c>
      <c r="N49" s="6"/>
    </row>
    <row r="50" spans="1:14" ht="15.75" customHeight="1">
      <c r="A50" s="9"/>
      <c r="B50" s="139" t="s">
        <v>348</v>
      </c>
      <c r="C50" s="366">
        <f>(C29+C21+C22)/C29</f>
        <v>1.5052522151333307</v>
      </c>
      <c r="D50" s="366">
        <f>IF(D29="","",(D29+D21+D22)/D29)</f>
        <v>1.4287990609249623</v>
      </c>
      <c r="E50" s="366">
        <f t="shared" ref="E50:M50" si="29">IF(E29="","",(E29+E21+E22)/E29)</f>
        <v>1.8304322853163559</v>
      </c>
      <c r="F50" s="366">
        <f t="shared" si="29"/>
        <v>1.7484827235522311</v>
      </c>
      <c r="G50" s="366" t="str">
        <f t="shared" si="29"/>
        <v/>
      </c>
      <c r="H50" s="366" t="str">
        <f t="shared" si="29"/>
        <v/>
      </c>
      <c r="I50" s="366" t="str">
        <f t="shared" si="29"/>
        <v/>
      </c>
      <c r="J50" s="366" t="str">
        <f t="shared" si="29"/>
        <v/>
      </c>
      <c r="K50" s="366" t="str">
        <f t="shared" si="29"/>
        <v/>
      </c>
      <c r="L50" s="366" t="str">
        <f t="shared" si="29"/>
        <v/>
      </c>
      <c r="M50" s="366" t="str">
        <f t="shared" si="29"/>
        <v/>
      </c>
      <c r="N50" s="6"/>
    </row>
    <row r="51" spans="1:14" ht="15.75" customHeight="1">
      <c r="A51" s="9"/>
      <c r="B51" s="139" t="s">
        <v>349</v>
      </c>
      <c r="C51" s="367">
        <f>C48*C49*C50</f>
        <v>9.7450068410410828E-3</v>
      </c>
      <c r="D51" s="367">
        <f>IF(D48="","",D48*D49*D50)</f>
        <v>6.2196816376070677E-2</v>
      </c>
      <c r="E51" s="367">
        <f t="shared" ref="E51:M51" si="30">IF(E48="","",E48*E49*E50)</f>
        <v>0.24636796835461963</v>
      </c>
      <c r="F51" s="367">
        <f t="shared" si="30"/>
        <v>7.7636484256320387E-2</v>
      </c>
      <c r="G51" s="367" t="str">
        <f t="shared" si="30"/>
        <v/>
      </c>
      <c r="H51" s="367" t="str">
        <f t="shared" si="30"/>
        <v/>
      </c>
      <c r="I51" s="367" t="str">
        <f t="shared" si="30"/>
        <v/>
      </c>
      <c r="J51" s="367" t="str">
        <f t="shared" si="30"/>
        <v/>
      </c>
      <c r="K51" s="367" t="str">
        <f t="shared" si="30"/>
        <v/>
      </c>
      <c r="L51" s="367" t="str">
        <f t="shared" si="30"/>
        <v/>
      </c>
      <c r="M51" s="367" t="str">
        <f t="shared" si="30"/>
        <v/>
      </c>
      <c r="N51" s="6"/>
    </row>
    <row r="52" spans="1:14" ht="15.75" customHeight="1">
      <c r="A52" s="9"/>
      <c r="B52" s="368" t="s">
        <v>350</v>
      </c>
      <c r="C52" s="369">
        <f>C35*C51</f>
        <v>-1.1305570581097987E-2</v>
      </c>
      <c r="D52" s="369">
        <f>IF(D35="","",D35*D51)</f>
        <v>2.2652146206233715E-3</v>
      </c>
      <c r="E52" s="369">
        <f t="shared" ref="E52:M52" si="31">IF(E35="","",E35*E51)</f>
        <v>-2.4973165582695741E-3</v>
      </c>
      <c r="F52" s="369" t="str">
        <f t="shared" si="31"/>
        <v/>
      </c>
      <c r="G52" s="369" t="str">
        <f t="shared" si="31"/>
        <v/>
      </c>
      <c r="H52" s="369" t="str">
        <f t="shared" si="31"/>
        <v/>
      </c>
      <c r="I52" s="369" t="str">
        <f t="shared" si="31"/>
        <v/>
      </c>
      <c r="J52" s="369" t="str">
        <f t="shared" si="31"/>
        <v/>
      </c>
      <c r="K52" s="369" t="str">
        <f t="shared" si="31"/>
        <v/>
      </c>
      <c r="L52" s="369" t="str">
        <f t="shared" si="31"/>
        <v/>
      </c>
      <c r="M52" s="369" t="str">
        <f t="shared" si="31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2"/>
      <c r="D54" s="52"/>
      <c r="E54" s="52"/>
      <c r="F54" s="52"/>
    </row>
    <row r="55" spans="1:14" ht="15" customHeight="1">
      <c r="A55" s="9"/>
      <c r="B55" s="5" t="s">
        <v>75</v>
      </c>
      <c r="C55" s="317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14"/>
      <c r="D56" s="6"/>
      <c r="E56" s="314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15" t="s">
        <v>276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3"/>
    </row>
    <row r="58" spans="1:14" ht="15.75" customHeight="1">
      <c r="A58" s="9"/>
      <c r="B58" s="316" t="s">
        <v>277</v>
      </c>
      <c r="C58" s="320" t="str">
        <f>IF(C57="","",C57/C7)</f>
        <v/>
      </c>
      <c r="D58" s="320" t="str">
        <f t="shared" ref="D58:M58" si="32">IF(D57="","",D57/D7)</f>
        <v/>
      </c>
      <c r="E58" s="320" t="str">
        <f t="shared" si="32"/>
        <v/>
      </c>
      <c r="F58" s="320" t="str">
        <f t="shared" si="32"/>
        <v/>
      </c>
      <c r="G58" s="320" t="str">
        <f t="shared" si="32"/>
        <v/>
      </c>
      <c r="H58" s="320" t="str">
        <f>IF(H57="","",H57/H7)</f>
        <v/>
      </c>
      <c r="I58" s="320" t="str">
        <f t="shared" si="32"/>
        <v/>
      </c>
      <c r="J58" s="320" t="str">
        <f t="shared" si="32"/>
        <v/>
      </c>
      <c r="K58" s="320" t="str">
        <f t="shared" si="32"/>
        <v/>
      </c>
      <c r="L58" s="320" t="str">
        <f t="shared" si="32"/>
        <v/>
      </c>
      <c r="M58" s="321" t="str">
        <f t="shared" si="32"/>
        <v/>
      </c>
    </row>
    <row r="59" spans="1:14" ht="15.75" customHeight="1">
      <c r="A59" s="9"/>
      <c r="B59" s="53"/>
      <c r="C59" s="56"/>
      <c r="D59" s="56"/>
    </row>
    <row r="60" spans="1:14" ht="15.75" customHeight="1">
      <c r="A60" s="9"/>
      <c r="B60" s="53"/>
      <c r="C60" s="56"/>
      <c r="D60" s="56"/>
    </row>
    <row r="61" spans="1:14" ht="15.75" customHeight="1">
      <c r="A61" s="9"/>
      <c r="B61" s="53"/>
      <c r="C61" s="56"/>
      <c r="D61" s="56"/>
    </row>
    <row r="62" spans="1:14" ht="15.75" customHeight="1">
      <c r="A62" s="9"/>
      <c r="B62" s="53"/>
      <c r="C62" s="57"/>
      <c r="D62" s="57"/>
    </row>
    <row r="63" spans="1:14" ht="15.75" customHeight="1">
      <c r="A63" s="9"/>
      <c r="B63" s="53"/>
      <c r="C63" s="56"/>
      <c r="D63" s="56"/>
    </row>
    <row r="64" spans="1:14" ht="15.75" customHeight="1">
      <c r="A64" s="9"/>
      <c r="B64" s="53"/>
      <c r="C64" s="57"/>
      <c r="D64" s="57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2">
      <formula>$C$55="No"</formula>
    </cfRule>
  </conditionalFormatting>
  <conditionalFormatting sqref="C7:M35 D42:M46">
    <cfRule type="containsBlanks" dxfId="10" priority="4">
      <formula>LEN(TRIM(C7))=0</formula>
    </cfRule>
  </conditionalFormatting>
  <conditionalFormatting sqref="C37:M40">
    <cfRule type="containsBlanks" dxfId="9" priority="6">
      <formula>LEN(TRIM(C37))=0</formula>
    </cfRule>
  </conditionalFormatting>
  <conditionalFormatting sqref="D17:M18">
    <cfRule type="containsBlanks" dxfId="8" priority="5">
      <formula>LEN(TRIM(D17))=0</formula>
    </cfRule>
  </conditionalFormatting>
  <conditionalFormatting sqref="D48:M52">
    <cfRule type="containsBlanks" dxfId="7" priority="1">
      <formula>LEN(TRIM(D48))=0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4494199</v>
      </c>
      <c r="E3" s="153" t="str">
        <f>IF((C46-I46)=D3,"", "Error!")</f>
        <v/>
      </c>
      <c r="F3" s="6"/>
      <c r="G3" s="6"/>
      <c r="H3" s="258" t="s">
        <v>244</v>
      </c>
      <c r="I3" s="259">
        <v>4494199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2.4602695340999325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3634480.5000000005</v>
      </c>
      <c r="E6" s="14">
        <f>1-D6/D3</f>
        <v>0.191295156267001</v>
      </c>
      <c r="F6" s="6"/>
      <c r="G6" s="6"/>
      <c r="H6" s="3" t="s">
        <v>287</v>
      </c>
      <c r="I6" s="69">
        <f>C26/I26</f>
        <v>8.6617479363458436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1.9896318891153442</v>
      </c>
      <c r="E7" s="49" t="str">
        <f>Dashboard!J4</f>
        <v>HKD</v>
      </c>
      <c r="H7" s="3" t="s">
        <v>288</v>
      </c>
      <c r="I7" s="69">
        <f>C25/I26</f>
        <v>8.2361118202706152</v>
      </c>
      <c r="J7" s="6"/>
      <c r="K7" s="114"/>
    </row>
    <row r="8" spans="1:11" ht="15" customHeight="1">
      <c r="D8" s="6"/>
      <c r="H8" s="3" t="s">
        <v>289</v>
      </c>
      <c r="I8" s="69">
        <f>C24/I26</f>
        <v>7.0907199387286193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324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98</v>
      </c>
      <c r="I15" s="152">
        <f>I26-SUM(I11:I14)</f>
        <v>228818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290</v>
      </c>
      <c r="I24" s="69">
        <f>E24/($I$26-I15)</f>
        <v>268.69735569171235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294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56</v>
      </c>
      <c r="I26" s="64">
        <v>235020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0.8</v>
      </c>
      <c r="E32" s="27">
        <f t="shared" si="3"/>
        <v>0</v>
      </c>
      <c r="G32" s="6"/>
      <c r="H32" s="5" t="s">
        <v>116</v>
      </c>
      <c r="I32" s="152">
        <f>I42-SUM(I28:I31)</f>
        <v>8226</v>
      </c>
      <c r="J32" s="6"/>
    </row>
    <row r="33" spans="2:10" ht="14">
      <c r="B33" s="5" t="s">
        <v>117</v>
      </c>
      <c r="C33" s="64">
        <v>545758</v>
      </c>
      <c r="D33" s="65">
        <v>0.7</v>
      </c>
      <c r="E33" s="214">
        <f t="shared" si="3"/>
        <v>382030.6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197608</v>
      </c>
      <c r="D34" s="65">
        <v>0.85</v>
      </c>
      <c r="E34" s="214">
        <f t="shared" si="3"/>
        <v>167966.8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>
      <c r="B39" s="5" t="s">
        <v>120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>
      <c r="B40" s="5" t="s">
        <v>121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123</v>
      </c>
      <c r="I42" s="64">
        <v>18638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291</v>
      </c>
      <c r="I44" s="69">
        <f>E44/(I46-I15-I32)</f>
        <v>100.30462260743951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295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292</v>
      </c>
      <c r="I46" s="152">
        <f>I26+I42</f>
        <v>253658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53">
        <f>D53+D54+D55</f>
        <v>16614</v>
      </c>
      <c r="E52" s="454"/>
      <c r="F52" s="53"/>
      <c r="G52" s="53"/>
    </row>
    <row r="53" spans="2:9" ht="14.5" thickTop="1">
      <c r="B53" s="58" t="s">
        <v>222</v>
      </c>
      <c r="C53" s="6"/>
      <c r="D53" s="456">
        <f>SUM(I11:I13)+SUM(I28:I30)</f>
        <v>16614</v>
      </c>
      <c r="E53" s="449"/>
      <c r="F53" s="5"/>
      <c r="G53" s="5"/>
      <c r="H53" s="3" t="s">
        <v>293</v>
      </c>
      <c r="I53" s="14">
        <f>D53/I3</f>
        <v>3.6967655415347652E-3</v>
      </c>
    </row>
    <row r="54" spans="2:9" ht="14">
      <c r="B54" s="58" t="s">
        <v>129</v>
      </c>
      <c r="C54" s="6"/>
      <c r="D54" s="463">
        <v>0</v>
      </c>
      <c r="E54" s="410"/>
      <c r="F54" s="6" t="s">
        <v>130</v>
      </c>
      <c r="G54" s="6"/>
    </row>
    <row r="55" spans="2:9" ht="12.75" customHeight="1">
      <c r="B55" s="58" t="s">
        <v>128</v>
      </c>
      <c r="C55" s="6"/>
      <c r="D55" s="463">
        <v>0</v>
      </c>
      <c r="E55" s="410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55"/>
      <c r="E57" s="455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2468318</v>
      </c>
      <c r="D58" s="126">
        <f>IF(E58=0,0,E58/C58)</f>
        <v>0.74257820507730365</v>
      </c>
      <c r="E58" s="215">
        <f>E14+E15+(E19*G19)+(E20*G20)+E29+E30+(E31*G31)+(E33*G33)+(E34*G34)+(E35*G35)</f>
        <v>1832919.15</v>
      </c>
      <c r="H58" s="6"/>
    </row>
    <row r="59" spans="2:9" ht="14">
      <c r="B59" s="53" t="s">
        <v>89</v>
      </c>
      <c r="C59" s="207">
        <f>C11+C12+C28</f>
        <v>1666461</v>
      </c>
      <c r="D59" s="208">
        <f>IF(E59=0,0,E59/C59)</f>
        <v>1</v>
      </c>
      <c r="E59" s="209">
        <f>E11+E12+E28</f>
        <v>1666461</v>
      </c>
      <c r="F59" s="6"/>
      <c r="G59" s="6"/>
    </row>
    <row r="60" spans="2:9" ht="14">
      <c r="B60" s="53" t="s">
        <v>133</v>
      </c>
      <c r="C60" s="6"/>
      <c r="D60" s="461">
        <f>((Dashboard!I6*Data!C4)+D52+E50-C58-C59)</f>
        <v>996623.04479999933</v>
      </c>
      <c r="E60" s="462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59">
        <f>((C26-C11-C12-C14-C15-C16*G16-C19*G19-C20*G20)-I26)/Data!C7</f>
        <v>-7.7270619954391717E-2</v>
      </c>
      <c r="E63" s="460"/>
    </row>
    <row r="64" spans="2:9" ht="15" customHeight="1">
      <c r="B64" s="3" t="s">
        <v>250</v>
      </c>
      <c r="D64" s="457">
        <v>1.4E-2</v>
      </c>
      <c r="E64" s="458"/>
      <c r="F64" s="250" t="s">
        <v>236</v>
      </c>
    </row>
    <row r="65" spans="2:5" ht="15" customHeight="1">
      <c r="B65" s="271" t="s">
        <v>252</v>
      </c>
      <c r="D65" s="457">
        <v>1.4E-2</v>
      </c>
      <c r="E65" s="45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336</v>
      </c>
      <c r="C4" s="273">
        <v>904</v>
      </c>
      <c r="D4" s="244">
        <f>C4/$C$7</f>
        <v>1.5465072714924309E-3</v>
      </c>
      <c r="E4" s="273">
        <v>0</v>
      </c>
      <c r="F4" s="244">
        <f>E4/E$7</f>
        <v>0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337</v>
      </c>
      <c r="C5" s="273">
        <v>549346</v>
      </c>
      <c r="D5" s="244">
        <f>C5/$C$7</f>
        <v>0.93978714996159396</v>
      </c>
      <c r="E5" s="273">
        <v>384542.19999999995</v>
      </c>
      <c r="F5" s="244">
        <f>E5/E$7</f>
        <v>0.94124278877868006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338</v>
      </c>
      <c r="C6" s="273">
        <v>34293</v>
      </c>
      <c r="D6" s="244">
        <f>C6/$C$7</f>
        <v>5.866634276691364E-2</v>
      </c>
      <c r="E6" s="273">
        <v>24005.1</v>
      </c>
      <c r="F6" s="244">
        <f>E6/E$7</f>
        <v>5.8757211221320035E-2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584543</v>
      </c>
      <c r="D7" s="243"/>
      <c r="E7" s="313">
        <f>SUM(E4:E6)</f>
        <v>408547.29999999993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-0.30108255509004478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500512</v>
      </c>
      <c r="D9" s="246"/>
      <c r="E9" s="221">
        <f>E7*(1-E10)</f>
        <v>349816.56818677147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0.14375503598537662</v>
      </c>
      <c r="D10" s="183"/>
      <c r="E10" s="72">
        <f>C10</f>
        <v>0.14375503598537662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84031</v>
      </c>
      <c r="D11" s="27"/>
      <c r="E11" s="27">
        <f>E7-E9</f>
        <v>58730.731813228456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6.8831548748338439E-2</v>
      </c>
      <c r="D12" s="186"/>
      <c r="E12" s="220">
        <f>E13/E7</f>
        <v>9.8483088739051775E-2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Data!C11</f>
        <v>40235</v>
      </c>
      <c r="D13" s="247"/>
      <c r="E13" s="75">
        <f>C13</f>
        <v>40235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7.4923487237038164E-2</v>
      </c>
      <c r="D14" s="18"/>
      <c r="E14" s="18">
        <f>E16/E7</f>
        <v>4.527194724632487E-2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-0.57768445033271398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43796</v>
      </c>
      <c r="D16" s="296"/>
      <c r="E16" s="295">
        <f>E11-E13</f>
        <v>18495.731813228456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6.5626798158685509E-2</v>
      </c>
      <c r="D18" s="302"/>
      <c r="E18" s="301">
        <f>E19/E9</f>
        <v>3.9654493587379241E-2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32847</v>
      </c>
      <c r="D19" s="298"/>
      <c r="E19" s="299">
        <f>IF(E16="","",IF(E16&lt;=0,E16,E16*(1-E17)))</f>
        <v>13871.798859921342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C27" sqref="C2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32847</v>
      </c>
      <c r="D4" s="45">
        <f>Operation!E19</f>
        <v>13871.798859921342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-0.57768445033271409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0.05</v>
      </c>
      <c r="D6" s="220">
        <v>0.05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1642.3500000000001</v>
      </c>
      <c r="D7" s="286">
        <f>D4*D6</f>
        <v>693.58994299606718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31204.65</v>
      </c>
      <c r="D8" s="188">
        <f>D4-D7</f>
        <v>13178.208916925276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1.7082432201433771E-2</v>
      </c>
      <c r="D9" s="283">
        <f>D8/(Common_Shares/Data!$C$4)</f>
        <v>7.2141767448026493E-3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7.2141767448026493E-3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6.6797932822246749E-3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1666461</v>
      </c>
      <c r="D15" s="213">
        <f>C15/(Dashboard!I5/Data!C4)</f>
        <v>0.91227451834369311</v>
      </c>
      <c r="E15" s="84" t="s">
        <v>224</v>
      </c>
      <c r="G15" s="134">
        <f>C15+C16+C17+C18</f>
        <v>3482766.15</v>
      </c>
    </row>
    <row r="16" spans="1:10" ht="15.75" customHeight="1">
      <c r="B16" s="58" t="s">
        <v>230</v>
      </c>
      <c r="C16" s="83">
        <f>Asset_Model!E58</f>
        <v>1832919.15</v>
      </c>
      <c r="D16" s="213">
        <f>C16/(Dashboard!I5/Data!C4)</f>
        <v>1.0033990802840158</v>
      </c>
      <c r="E16" s="84" t="s">
        <v>306</v>
      </c>
      <c r="G16" s="194">
        <f>(G15+MIN(D4,0))*Data!C$4/Dashboard!I5</f>
        <v>1.9065785589911606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-9.0950396365484208E-3</v>
      </c>
      <c r="E17" s="466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66"/>
      <c r="F18" s="145">
        <f>D15+(MIN(D4,0)*Data!C$4/Dashboard!I5)</f>
        <v>0.91227451834369311</v>
      </c>
      <c r="G18" s="144">
        <f>SUM(D16:D18)</f>
        <v>0.99430404064746736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67" t="s">
        <v>220</v>
      </c>
      <c r="F20" s="467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0.25</v>
      </c>
      <c r="D22" s="277">
        <v>4</v>
      </c>
      <c r="E22" s="202">
        <f ca="1">IF(G9&lt;0,G9,G9*D22/G11)</f>
        <v>2.4739975119350648E-2</v>
      </c>
      <c r="F22" s="342">
        <f ca="1">E22+$G$16</f>
        <v>1.9313185341105112</v>
      </c>
      <c r="G22" s="345">
        <f ca="1">ROUND(F22*Exchange_Rate,2)</f>
        <v>1.93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 ca="1">IF(G9&lt;0,G9,G9*D23/G11)</f>
        <v>4.9479950238701297E-2</v>
      </c>
      <c r="F23" s="343">
        <f ca="1">E23+$G$16</f>
        <v>1.9560585092298619</v>
      </c>
      <c r="G23" s="348">
        <f ca="1">ROUND(F23*Exchange_Rate,2)</f>
        <v>1.96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 ca="1">MIN(G22,G23)+ABS(G22-G23)*'Qualitative Analysis'!$E$64</f>
        <v>1.9456852040816326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64" t="s">
        <v>145</v>
      </c>
      <c r="D26" s="465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 ca="1">MIN(G24,Asset_Model!D7)+ABS(G24-Asset_Model!D7)*'Qualitative Analysis'!$E$8</f>
        <v>1.973811082503208</v>
      </c>
      <c r="D27" s="117" t="str">
        <f>Dashboard!J4</f>
        <v>HKD</v>
      </c>
      <c r="E27" s="118">
        <f ca="1">(C27-G16)/C9</f>
        <v>3.9357699605799961</v>
      </c>
      <c r="F27" s="155">
        <f ca="1">C27/(Data!C28*Exchange_Rate*Data!C4/Common_Shares)</f>
        <v>0.80227432610358651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Asset_Model!I3*Exchange_Rate*Data!C4/Common_Shares*1.45</f>
        <v>3.5673908244449022</v>
      </c>
      <c r="D30" s="334" t="str">
        <f>D27</f>
        <v>HKD</v>
      </c>
      <c r="E30" s="118">
        <f>(C30-G16)/C9</f>
        <v>97.223407408831719</v>
      </c>
      <c r="F30" s="155">
        <f>C30/(Asset_Model!I3*Exchange_Rate*Data!C4/Common_Shares)</f>
        <v>1.45</v>
      </c>
      <c r="I30" s="73" t="s">
        <v>339</v>
      </c>
    </row>
    <row r="31" spans="2:9" ht="15.75" customHeight="1">
      <c r="B31" s="352" t="s">
        <v>307</v>
      </c>
      <c r="C31" s="350">
        <f ca="1">MIN(C30,C27)+ABS(C30-C27)*'Qualitative Analysis'!E64</f>
        <v>2.8069985315935737</v>
      </c>
      <c r="D31" s="334" t="str">
        <f>D30</f>
        <v>HKD</v>
      </c>
      <c r="E31" s="118">
        <f ca="1">(C31-G16)/C9</f>
        <v>52.7102910162195</v>
      </c>
      <c r="F31" s="155">
        <f ca="1">C31/(Asset_Model!I3*Exchange_Rate*Data!C4/Common_Shares)</f>
        <v>1.1409313055695294</v>
      </c>
      <c r="I31" s="73"/>
    </row>
    <row r="32" spans="2:9" ht="15.75" customHeight="1">
      <c r="B32" s="333" t="s">
        <v>315</v>
      </c>
      <c r="C32" s="350">
        <f ca="1">IF(Asset_Model!D7&gt;C27,Asset_Model!D7,C27)/(1+Dashboard!C16)</f>
        <v>1.5917055112922753</v>
      </c>
      <c r="D32" s="334" t="str">
        <f>D30</f>
        <v>HKD</v>
      </c>
      <c r="E32" s="118">
        <f ca="1">(C32-G16)/C9</f>
        <v>-18.432565338819678</v>
      </c>
      <c r="F32" s="155">
        <f ca="1">C32/(Asset_Model!I3*Exchange_Rate*Data!C4/Common_Shares)</f>
        <v>0.64696387498639918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2" sqref="E62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259</v>
      </c>
      <c r="C6" s="94"/>
      <c r="D6" s="92">
        <f>AVERAGE(D24:D28)</f>
        <v>2.8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0</v>
      </c>
      <c r="E12" s="31" t="s">
        <v>170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2</v>
      </c>
      <c r="E16" s="31" t="s">
        <v>147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3</v>
      </c>
      <c r="E20" s="31" t="s">
        <v>148</v>
      </c>
      <c r="F20" s="6"/>
      <c r="G20" s="274"/>
    </row>
    <row r="21" spans="2:7" ht="15" customHeight="1">
      <c r="B21" s="53" t="s">
        <v>161</v>
      </c>
      <c r="D21" s="98">
        <f t="shared" si="1"/>
        <v>1</v>
      </c>
      <c r="E21" s="31" t="s">
        <v>155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265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0.75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3</v>
      </c>
      <c r="E43" s="31" t="s">
        <v>148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3</v>
      </c>
      <c r="E46" s="31" t="s">
        <v>148</v>
      </c>
      <c r="F46" s="6"/>
      <c r="G46" s="274"/>
    </row>
    <row r="47" spans="2:7" ht="15" customHeight="1">
      <c r="B47" s="53" t="s">
        <v>178</v>
      </c>
      <c r="D47" s="98">
        <f t="shared" si="5"/>
        <v>3</v>
      </c>
      <c r="E47" s="31" t="s">
        <v>148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0.39319727891156464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2</v>
      </c>
      <c r="E53" s="31" t="s">
        <v>147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3.8639455782312924</v>
      </c>
      <c r="E54" s="31" t="s">
        <v>189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0.75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4</v>
      </c>
      <c r="E56" s="31" t="s">
        <v>157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340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0.54136054421768709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2.0913605442176868</v>
      </c>
      <c r="E64" s="123">
        <f>AVERAGE(AVERAGE(D12:D16)/4,AVERAGE(D18:D22)/4,AVERAGE(D24:D28)/4,D62)</f>
        <v>0.5228401360544217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2023-07-27T06:40:49Z</dcterms:modified>
  <cp:category/>
  <cp:contentStatus/>
</cp:coreProperties>
</file>