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35C609E4-D550-403D-829D-98372836124E}" xr6:coauthVersionLast="47" xr6:coauthVersionMax="47" xr10:uidLastSave="{00000000-0000-0000-0000-000000000000}"/>
  <bookViews>
    <workbookView xWindow="35250" yWindow="4110" windowWidth="8625" windowHeight="4635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 concurrentManualCount="8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M52" i="2" l="1"/>
  <c r="L52" i="2"/>
  <c r="K52" i="2"/>
  <c r="J52" i="2"/>
  <c r="I52" i="2"/>
  <c r="H52" i="2"/>
  <c r="G52" i="2"/>
  <c r="F52" i="2"/>
  <c r="I51" i="2"/>
  <c r="M50" i="2"/>
  <c r="L50" i="2"/>
  <c r="K50" i="2"/>
  <c r="J50" i="2"/>
  <c r="I50" i="2"/>
  <c r="H50" i="2"/>
  <c r="G50" i="2"/>
  <c r="F50" i="2"/>
  <c r="E50" i="2"/>
  <c r="D50" i="2"/>
  <c r="C50" i="2"/>
  <c r="M49" i="2"/>
  <c r="L49" i="2"/>
  <c r="K49" i="2"/>
  <c r="J49" i="2"/>
  <c r="I49" i="2"/>
  <c r="H49" i="2"/>
  <c r="G49" i="2"/>
  <c r="F49" i="2"/>
  <c r="E49" i="2"/>
  <c r="D49" i="2"/>
  <c r="C49" i="2"/>
  <c r="M48" i="2"/>
  <c r="M51" i="2" s="1"/>
  <c r="L48" i="2"/>
  <c r="L51" i="2" s="1"/>
  <c r="K48" i="2"/>
  <c r="K51" i="2" s="1"/>
  <c r="J48" i="2"/>
  <c r="J51" i="2" s="1"/>
  <c r="I48" i="2"/>
  <c r="H48" i="2"/>
  <c r="H51" i="2" s="1"/>
  <c r="G48" i="2"/>
  <c r="G51" i="2" s="1"/>
  <c r="F48" i="2"/>
  <c r="F51" i="2" s="1"/>
  <c r="E48" i="2"/>
  <c r="E51" i="2" s="1"/>
  <c r="E52" i="2" s="1"/>
  <c r="D48" i="2"/>
  <c r="D51" i="2" s="1"/>
  <c r="D52" i="2" s="1"/>
  <c r="C48" i="2"/>
  <c r="C51" i="2" s="1"/>
  <c r="C52" i="2" s="1"/>
  <c r="F42" i="1" l="1"/>
  <c r="G18" i="7"/>
  <c r="C19" i="7"/>
  <c r="C13" i="7"/>
  <c r="D11" i="7" s="1"/>
  <c r="E13" i="3"/>
  <c r="C17" i="3"/>
  <c r="C36" i="3"/>
  <c r="C38" i="1"/>
  <c r="C37" i="1"/>
  <c r="C15" i="7"/>
  <c r="B16" i="1"/>
  <c r="D7" i="7" l="1"/>
  <c r="D10" i="7"/>
  <c r="E13" i="7"/>
  <c r="E19" i="7" s="1"/>
  <c r="D9" i="7"/>
  <c r="D6" i="7"/>
  <c r="C12" i="7"/>
  <c r="D8" i="7"/>
  <c r="D5" i="7"/>
  <c r="I32" i="3"/>
  <c r="E11" i="3"/>
  <c r="E12" i="3"/>
  <c r="E14" i="3"/>
  <c r="E15" i="3"/>
  <c r="E16" i="3"/>
  <c r="E17" i="3"/>
  <c r="E18" i="3"/>
  <c r="E19" i="3"/>
  <c r="E20" i="3"/>
  <c r="E21" i="3"/>
  <c r="E22" i="3"/>
  <c r="E29" i="3"/>
  <c r="E30" i="3"/>
  <c r="E31" i="3"/>
  <c r="E32" i="3"/>
  <c r="E33" i="3"/>
  <c r="E34" i="3"/>
  <c r="E35" i="3"/>
  <c r="E36" i="3"/>
  <c r="E37" i="3"/>
  <c r="E38" i="3"/>
  <c r="E39" i="3"/>
  <c r="E40" i="3"/>
  <c r="I46" i="3"/>
  <c r="D4" i="3"/>
  <c r="C50" i="3" s="1"/>
  <c r="I10" i="1"/>
  <c r="G19" i="3"/>
  <c r="G20" i="3"/>
  <c r="G31" i="3"/>
  <c r="G33" i="3"/>
  <c r="G34" i="3"/>
  <c r="G35" i="3"/>
  <c r="D53" i="3"/>
  <c r="I53" i="3" s="1"/>
  <c r="D3" i="5"/>
  <c r="D4" i="5"/>
  <c r="D12" i="5"/>
  <c r="D13" i="5"/>
  <c r="D14" i="5"/>
  <c r="D15" i="5"/>
  <c r="D16" i="5"/>
  <c r="D24" i="5"/>
  <c r="D25" i="5"/>
  <c r="D26" i="5"/>
  <c r="D27" i="5"/>
  <c r="D28" i="5"/>
  <c r="I15" i="3"/>
  <c r="C26" i="3"/>
  <c r="D63" i="3" s="1"/>
  <c r="C42" i="3"/>
  <c r="D19" i="5"/>
  <c r="D20" i="5"/>
  <c r="D21" i="5"/>
  <c r="D22" i="5"/>
  <c r="D31" i="5"/>
  <c r="D32" i="5"/>
  <c r="D33" i="5"/>
  <c r="D34" i="5"/>
  <c r="D35" i="5"/>
  <c r="D37" i="5"/>
  <c r="D38" i="5"/>
  <c r="D39" i="5"/>
  <c r="D40" i="5"/>
  <c r="D41" i="5"/>
  <c r="D43" i="5"/>
  <c r="D44" i="5"/>
  <c r="D45" i="5"/>
  <c r="D46" i="5"/>
  <c r="D47" i="5"/>
  <c r="D48" i="5"/>
  <c r="D50" i="5"/>
  <c r="D51" i="5"/>
  <c r="D52" i="5"/>
  <c r="D53" i="5"/>
  <c r="B69" i="5"/>
  <c r="B70" i="5"/>
  <c r="B71" i="5"/>
  <c r="E71" i="5"/>
  <c r="D54" i="5" a="1"/>
  <c r="D54" i="5" s="1"/>
  <c r="D56" i="5"/>
  <c r="D57" i="5"/>
  <c r="D58" i="5"/>
  <c r="D59" i="5"/>
  <c r="D60" i="5"/>
  <c r="D61" i="5"/>
  <c r="B18" i="1"/>
  <c r="B15" i="1"/>
  <c r="G21" i="4"/>
  <c r="F21" i="4"/>
  <c r="C12" i="1"/>
  <c r="D33" i="2"/>
  <c r="D34" i="2" s="1"/>
  <c r="E6" i="1"/>
  <c r="C3" i="7" s="1"/>
  <c r="E28" i="1"/>
  <c r="E7" i="3"/>
  <c r="C23" i="4"/>
  <c r="G34" i="2"/>
  <c r="G35" i="2" s="1"/>
  <c r="H34" i="2"/>
  <c r="H35" i="2" s="1"/>
  <c r="I34" i="2"/>
  <c r="I35" i="2" s="1"/>
  <c r="J34" i="2"/>
  <c r="J35" i="2" s="1"/>
  <c r="K34" i="2"/>
  <c r="K35" i="2" s="1"/>
  <c r="L34" i="2"/>
  <c r="L35" i="2" s="1"/>
  <c r="M34" i="2"/>
  <c r="M35" i="2" s="1"/>
  <c r="F34" i="2"/>
  <c r="F35" i="2" s="1"/>
  <c r="H58" i="2"/>
  <c r="D58" i="2"/>
  <c r="E58" i="2"/>
  <c r="F58" i="2"/>
  <c r="G58" i="2"/>
  <c r="I58" i="2"/>
  <c r="J58" i="2"/>
  <c r="K58" i="2"/>
  <c r="L58" i="2"/>
  <c r="M58" i="2"/>
  <c r="C58" i="2"/>
  <c r="D20" i="2"/>
  <c r="E20" i="2"/>
  <c r="F20" i="2"/>
  <c r="G20" i="2"/>
  <c r="H20" i="2"/>
  <c r="I20" i="2"/>
  <c r="J20" i="2"/>
  <c r="K20" i="2"/>
  <c r="L20" i="2"/>
  <c r="M20" i="2"/>
  <c r="C20" i="2"/>
  <c r="G16" i="3"/>
  <c r="I15" i="7"/>
  <c r="I17" i="7" s="1"/>
  <c r="I22" i="7" s="1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C43" i="2" s="1"/>
  <c r="D27" i="2"/>
  <c r="D43" i="2" s="1"/>
  <c r="E27" i="2"/>
  <c r="E43" i="2" s="1"/>
  <c r="F27" i="2"/>
  <c r="F43" i="2" s="1"/>
  <c r="I4" i="3"/>
  <c r="D6" i="1"/>
  <c r="B3" i="4"/>
  <c r="C14" i="4" s="1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G43" i="2"/>
  <c r="H43" i="2"/>
  <c r="I43" i="2"/>
  <c r="J43" i="2"/>
  <c r="K43" i="2"/>
  <c r="L43" i="2"/>
  <c r="M43" i="2"/>
  <c r="D42" i="2"/>
  <c r="D27" i="4"/>
  <c r="D30" i="4" s="1"/>
  <c r="C58" i="3"/>
  <c r="C18" i="7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C7" i="1" s="1"/>
  <c r="C24" i="3"/>
  <c r="I8" i="3" s="1"/>
  <c r="C25" i="3"/>
  <c r="I7" i="3" s="1"/>
  <c r="C14" i="2"/>
  <c r="C16" i="2" s="1"/>
  <c r="G27" i="2"/>
  <c r="H27" i="2"/>
  <c r="I27" i="2"/>
  <c r="J27" i="2"/>
  <c r="K27" i="2"/>
  <c r="L27" i="2"/>
  <c r="M27" i="2"/>
  <c r="C42" i="2"/>
  <c r="J12" i="1"/>
  <c r="E5" i="1"/>
  <c r="E4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C32" i="2"/>
  <c r="D32" i="2"/>
  <c r="E32" i="2"/>
  <c r="F32" i="2"/>
  <c r="E77" i="5"/>
  <c r="B77" i="5"/>
  <c r="E76" i="5"/>
  <c r="B76" i="5"/>
  <c r="E75" i="5"/>
  <c r="B75" i="5"/>
  <c r="E74" i="5"/>
  <c r="B74" i="5"/>
  <c r="E73" i="5"/>
  <c r="B73" i="5"/>
  <c r="E72" i="5"/>
  <c r="B72" i="5"/>
  <c r="E70" i="5"/>
  <c r="E69" i="5"/>
  <c r="E68" i="5"/>
  <c r="M17" i="2"/>
  <c r="M14" i="2"/>
  <c r="L15" i="2" s="1"/>
  <c r="K14" i="2"/>
  <c r="J15" i="2" s="1"/>
  <c r="M12" i="2"/>
  <c r="M10" i="2"/>
  <c r="L10" i="2"/>
  <c r="K10" i="2"/>
  <c r="H10" i="2"/>
  <c r="G10" i="2"/>
  <c r="D10" i="2"/>
  <c r="L14" i="2"/>
  <c r="L44" i="2" s="1"/>
  <c r="J14" i="2"/>
  <c r="J13" i="2" s="1"/>
  <c r="I10" i="2"/>
  <c r="H14" i="2"/>
  <c r="H16" i="2" s="1"/>
  <c r="H45" i="2" s="1"/>
  <c r="G14" i="2"/>
  <c r="F15" i="2" s="1"/>
  <c r="F14" i="2"/>
  <c r="E10" i="2"/>
  <c r="L8" i="2"/>
  <c r="K8" i="2"/>
  <c r="J8" i="2"/>
  <c r="I8" i="2"/>
  <c r="H8" i="2"/>
  <c r="G8" i="2"/>
  <c r="F8" i="2"/>
  <c r="E8" i="2"/>
  <c r="D8" i="2"/>
  <c r="F3" i="2" a="1"/>
  <c r="F3" i="2" s="1"/>
  <c r="I9" i="1" s="1"/>
  <c r="J9" i="1" s="1"/>
  <c r="G33" i="1"/>
  <c r="G29" i="1" s="1"/>
  <c r="E33" i="1"/>
  <c r="E29" i="1" s="1"/>
  <c r="C33" i="1"/>
  <c r="C29" i="1" s="1"/>
  <c r="G32" i="1"/>
  <c r="E32" i="1"/>
  <c r="C32" i="1"/>
  <c r="I30" i="1"/>
  <c r="I6" i="1"/>
  <c r="C2" i="1"/>
  <c r="E33" i="2"/>
  <c r="E34" i="2" s="1"/>
  <c r="G44" i="2"/>
  <c r="C46" i="2"/>
  <c r="G12" i="2"/>
  <c r="D14" i="2"/>
  <c r="D16" i="2" s="1"/>
  <c r="H12" i="2"/>
  <c r="L12" i="2"/>
  <c r="F10" i="2"/>
  <c r="J10" i="2"/>
  <c r="J12" i="2"/>
  <c r="E14" i="2"/>
  <c r="E13" i="2" s="1"/>
  <c r="I14" i="2"/>
  <c r="I13" i="2" s="1"/>
  <c r="K12" i="2"/>
  <c r="C33" i="2"/>
  <c r="C34" i="2" s="1"/>
  <c r="C22" i="4"/>
  <c r="H17" i="2"/>
  <c r="K17" i="2"/>
  <c r="J17" i="2"/>
  <c r="G17" i="2"/>
  <c r="I12" i="2"/>
  <c r="L17" i="2"/>
  <c r="I17" i="2"/>
  <c r="G16" i="2" l="1"/>
  <c r="G45" i="2" s="1"/>
  <c r="G13" i="2"/>
  <c r="K15" i="2"/>
  <c r="K44" i="2"/>
  <c r="L13" i="2"/>
  <c r="K13" i="2"/>
  <c r="G13" i="7"/>
  <c r="I15" i="2"/>
  <c r="I16" i="2"/>
  <c r="I45" i="2" s="1"/>
  <c r="J44" i="2"/>
  <c r="K16" i="2"/>
  <c r="K45" i="2" s="1"/>
  <c r="J16" i="2"/>
  <c r="J45" i="2" s="1"/>
  <c r="L16" i="2"/>
  <c r="L45" i="2" s="1"/>
  <c r="H15" i="2"/>
  <c r="M13" i="2"/>
  <c r="G15" i="2"/>
  <c r="H13" i="2"/>
  <c r="M44" i="2"/>
  <c r="I44" i="2"/>
  <c r="M16" i="2"/>
  <c r="M45" i="2" s="1"/>
  <c r="H44" i="2"/>
  <c r="I20" i="7"/>
  <c r="I21" i="7"/>
  <c r="D36" i="5"/>
  <c r="E36" i="5" s="1"/>
  <c r="D6" i="5"/>
  <c r="E6" i="5" s="1"/>
  <c r="D4" i="7"/>
  <c r="D12" i="7"/>
  <c r="D55" i="5"/>
  <c r="E55" i="5" s="1"/>
  <c r="D49" i="5"/>
  <c r="E49" i="5" s="1"/>
  <c r="D42" i="5"/>
  <c r="E42" i="5" s="1"/>
  <c r="D30" i="5"/>
  <c r="E30" i="5" s="1"/>
  <c r="D5" i="5"/>
  <c r="E5" i="5" s="1"/>
  <c r="D31" i="4"/>
  <c r="D32" i="4"/>
  <c r="D10" i="4"/>
  <c r="G10" i="4"/>
  <c r="C17" i="7"/>
  <c r="C22" i="7" s="1"/>
  <c r="C20" i="7" s="1"/>
  <c r="D52" i="3"/>
  <c r="C17" i="4" s="1"/>
  <c r="D17" i="4" s="1"/>
  <c r="C46" i="3"/>
  <c r="E3" i="3" s="1"/>
  <c r="E26" i="3"/>
  <c r="D26" i="3" s="1"/>
  <c r="E59" i="3"/>
  <c r="C15" i="4" s="1"/>
  <c r="D15" i="4" s="1"/>
  <c r="F44" i="2"/>
  <c r="E12" i="2"/>
  <c r="C13" i="2"/>
  <c r="C12" i="2" s="1"/>
  <c r="C16" i="7"/>
  <c r="E24" i="3"/>
  <c r="I24" i="3" s="1"/>
  <c r="J24" i="3" s="1"/>
  <c r="E42" i="3"/>
  <c r="D42" i="3" s="1"/>
  <c r="E58" i="3"/>
  <c r="D58" i="3" s="1"/>
  <c r="C44" i="3"/>
  <c r="C45" i="3" s="1"/>
  <c r="I6" i="3"/>
  <c r="E34" i="1"/>
  <c r="I33" i="1"/>
  <c r="I34" i="1" s="1"/>
  <c r="I35" i="1" s="1"/>
  <c r="E50" i="3"/>
  <c r="I29" i="1"/>
  <c r="E15" i="2"/>
  <c r="F13" i="2"/>
  <c r="F12" i="2" s="1"/>
  <c r="F16" i="2"/>
  <c r="E16" i="2"/>
  <c r="E35" i="2" s="1"/>
  <c r="E44" i="2"/>
  <c r="D17" i="2"/>
  <c r="D45" i="2"/>
  <c r="D15" i="2"/>
  <c r="D44" i="2"/>
  <c r="D13" i="2"/>
  <c r="D12" i="2" s="1"/>
  <c r="D35" i="2"/>
  <c r="C6" i="4" s="1"/>
  <c r="D6" i="4" s="1"/>
  <c r="E6" i="4" s="1"/>
  <c r="C45" i="2"/>
  <c r="C17" i="2"/>
  <c r="F4" i="2"/>
  <c r="C35" i="2"/>
  <c r="C15" i="2"/>
  <c r="C44" i="2"/>
  <c r="E3" i="7"/>
  <c r="C3" i="4"/>
  <c r="J18" i="1"/>
  <c r="J16" i="1"/>
  <c r="C20" i="4"/>
  <c r="B3" i="7"/>
  <c r="C11" i="1"/>
  <c r="G19" i="7" l="1"/>
  <c r="G15" i="7"/>
  <c r="G17" i="7" s="1"/>
  <c r="G22" i="7" s="1"/>
  <c r="G20" i="7" s="1"/>
  <c r="E15" i="7"/>
  <c r="E17" i="7" s="1"/>
  <c r="E22" i="7" s="1"/>
  <c r="D59" i="3"/>
  <c r="E44" i="3"/>
  <c r="I44" i="3" s="1"/>
  <c r="J44" i="3" s="1"/>
  <c r="E46" i="3"/>
  <c r="D46" i="3" s="1"/>
  <c r="C16" i="4"/>
  <c r="D16" i="4" s="1"/>
  <c r="D62" i="5"/>
  <c r="E62" i="5" s="1"/>
  <c r="D60" i="3"/>
  <c r="E35" i="1"/>
  <c r="D3" i="4"/>
  <c r="G3" i="7"/>
  <c r="E3" i="4" s="1"/>
  <c r="E14" i="7"/>
  <c r="C25" i="7"/>
  <c r="C4" i="4" s="1"/>
  <c r="C7" i="4" s="1"/>
  <c r="C18" i="4"/>
  <c r="D18" i="4" s="1"/>
  <c r="D50" i="3"/>
  <c r="E25" i="3"/>
  <c r="D24" i="3"/>
  <c r="D49" i="3"/>
  <c r="F17" i="2"/>
  <c r="F45" i="2"/>
  <c r="E45" i="2"/>
  <c r="E17" i="2"/>
  <c r="G21" i="7" l="1"/>
  <c r="I3" i="7"/>
  <c r="F3" i="4" s="1"/>
  <c r="G4" i="4" s="1"/>
  <c r="B21" i="4" s="1"/>
  <c r="G2" i="4" s="1"/>
  <c r="E45" i="3"/>
  <c r="I45" i="3" s="1"/>
  <c r="J45" i="3" s="1"/>
  <c r="D44" i="3"/>
  <c r="G18" i="4"/>
  <c r="G15" i="4"/>
  <c r="E20" i="7"/>
  <c r="E23" i="7"/>
  <c r="E21" i="7"/>
  <c r="C24" i="7"/>
  <c r="C8" i="4"/>
  <c r="C9" i="4" s="1"/>
  <c r="J10" i="1"/>
  <c r="I25" i="3"/>
  <c r="J25" i="3" s="1"/>
  <c r="D25" i="3"/>
  <c r="D45" i="3" l="1"/>
  <c r="E25" i="7"/>
  <c r="E24" i="7" s="1"/>
  <c r="G23" i="7"/>
  <c r="J26" i="3"/>
  <c r="D18" i="5" s="1"/>
  <c r="E64" i="5" s="1"/>
  <c r="G25" i="7" l="1"/>
  <c r="I23" i="7"/>
  <c r="I25" i="7" s="1"/>
  <c r="D4" i="4"/>
  <c r="F18" i="4"/>
  <c r="E4" i="4"/>
  <c r="G24" i="7"/>
  <c r="E18" i="5"/>
  <c r="D64" i="5"/>
  <c r="E7" i="5" s="1"/>
  <c r="D7" i="5" s="1"/>
  <c r="D8" i="5" s="1"/>
  <c r="E8" i="5" s="1"/>
  <c r="F43" i="1"/>
  <c r="F4" i="4" l="1"/>
  <c r="I24" i="7"/>
  <c r="E7" i="4"/>
  <c r="E8" i="4" s="1"/>
  <c r="D6" i="3"/>
  <c r="D7" i="3" s="1"/>
  <c r="D7" i="4"/>
  <c r="G16" i="4"/>
  <c r="D5" i="4"/>
  <c r="D8" i="4"/>
  <c r="D9" i="4" s="1"/>
  <c r="D11" i="4"/>
  <c r="E5" i="4"/>
  <c r="E10" i="4"/>
  <c r="F41" i="1"/>
  <c r="E6" i="3" l="1"/>
  <c r="F5" i="4"/>
  <c r="F8" i="4"/>
  <c r="F9" i="4" s="1"/>
  <c r="F10" i="4"/>
  <c r="F11" i="4" s="1"/>
  <c r="F16" i="1"/>
  <c r="H16" i="1" s="1"/>
  <c r="E17" i="4"/>
  <c r="D12" i="4"/>
  <c r="E11" i="4"/>
  <c r="E9" i="4"/>
  <c r="F12" i="4" l="1"/>
  <c r="G11" i="4"/>
  <c r="G9" i="4"/>
  <c r="H18" i="1"/>
  <c r="E12" i="4"/>
  <c r="E22" i="4" l="1"/>
  <c r="F22" i="4" s="1"/>
  <c r="G22" i="4" s="1"/>
  <c r="E23" i="4"/>
  <c r="F23" i="4" s="1"/>
  <c r="G23" i="4" s="1"/>
  <c r="C30" i="4" s="1"/>
  <c r="F30" i="4" s="1"/>
  <c r="G24" i="4" l="1"/>
  <c r="C27" i="4" s="1"/>
  <c r="C32" i="4" s="1"/>
  <c r="E30" i="4"/>
  <c r="F27" i="4" l="1"/>
  <c r="E27" i="4"/>
  <c r="E14" i="1"/>
  <c r="C31" i="4"/>
  <c r="I37" i="1" s="1"/>
  <c r="D16" i="1" s="1"/>
  <c r="F32" i="4"/>
  <c r="E32" i="4"/>
  <c r="I38" i="1"/>
  <c r="E31" i="4" l="1"/>
  <c r="E47" i="1"/>
  <c r="E52" i="1" s="1"/>
  <c r="F47" i="1"/>
  <c r="F50" i="1" s="1"/>
  <c r="D18" i="1"/>
  <c r="B17" i="1"/>
  <c r="H17" i="1" s="1"/>
  <c r="F31" i="4"/>
  <c r="F48" i="1"/>
  <c r="E48" i="1"/>
  <c r="J17" i="1" l="1"/>
  <c r="D17" i="1"/>
  <c r="E51" i="1"/>
  <c r="E50" i="1"/>
  <c r="F51" i="1"/>
  <c r="F52" i="1"/>
  <c r="E53" i="1" l="1"/>
  <c r="F53" i="1"/>
</calcChain>
</file>

<file path=xl/sharedStrings.xml><?xml version="1.0" encoding="utf-8"?>
<sst xmlns="http://schemas.openxmlformats.org/spreadsheetml/2006/main" count="426" uniqueCount="357">
  <si>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</si>
  <si>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</si>
  <si>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</si>
  <si>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</si>
  <si>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</si>
  <si>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</si>
  <si>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</si>
  <si>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</si>
  <si>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</si>
  <si>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</si>
  <si>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</si>
  <si>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</si>
  <si>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</si>
  <si>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</si>
  <si>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</si>
  <si>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</si>
  <si>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</si>
  <si>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</si>
  <si>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</si>
  <si>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</si>
  <si>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Dividend Yield:</t>
  </si>
  <si>
    <t>Op. Assets</t>
  </si>
  <si>
    <t>Non-op. Assets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</si>
  <si>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</si>
  <si>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</si>
  <si>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</si>
  <si>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</si>
  <si>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</si>
  <si>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</si>
  <si>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</si>
  <si>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</si>
  <si>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</si>
  <si>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</si>
  <si>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</si>
  <si>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</si>
  <si>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</si>
  <si>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</si>
  <si>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</si>
  <si>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</si>
  <si>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</si>
  <si>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</si>
  <si>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</si>
  <si>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</si>
  <si>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</si>
  <si>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</si>
  <si>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</si>
  <si>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</si>
  <si>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</si>
  <si>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</si>
  <si>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</si>
  <si>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</si>
  <si>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</si>
  <si>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</si>
  <si>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</si>
  <si>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</si>
  <si>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</si>
  <si>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</si>
  <si>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</si>
  <si>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</si>
  <si>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</si>
  <si>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</si>
  <si>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</si>
  <si>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</si>
  <si>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</si>
  <si>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</si>
  <si>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</si>
  <si>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</si>
  <si>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</si>
  <si>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</si>
  <si>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</si>
  <si>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</si>
  <si>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</si>
  <si>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</si>
  <si>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</si>
  <si>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</si>
  <si>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</si>
  <si>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No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</si>
  <si>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</si>
  <si>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</si>
  <si>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</si>
  <si>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</si>
  <si>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</si>
  <si>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</si>
  <si>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</si>
  <si>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</si>
  <si>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</si>
  <si>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</si>
  <si>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</si>
  <si>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</si>
  <si>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</si>
  <si>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</si>
  <si>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</si>
  <si>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</si>
  <si>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</si>
  <si>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</si>
  <si>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</si>
  <si>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</si>
  <si>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</si>
  <si>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</si>
  <si>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</si>
  <si>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</si>
  <si>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</si>
  <si>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</si>
  <si>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</si>
  <si>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</si>
  <si>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</si>
  <si>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Monetary Asset (B11-B17)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</si>
  <si>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</si>
  <si>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</si>
  <si>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</si>
  <si>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</si>
  <si>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</si>
  <si>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</si>
  <si>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</si>
  <si>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</si>
  <si>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</si>
  <si>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</si>
  <si>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</si>
  <si>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</si>
  <si>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</si>
  <si>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</si>
  <si>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</si>
  <si>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</si>
  <si>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</si>
  <si>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</si>
  <si>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 xml:space="preserve">Total Monetary Asset = </t>
  </si>
  <si>
    <t>Total Assets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</si>
  <si>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</si>
  <si>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</si>
  <si>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</si>
  <si>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</si>
  <si>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</si>
  <si>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</si>
  <si>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</si>
  <si>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</si>
  <si>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</si>
  <si>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</si>
  <si>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</si>
  <si>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</si>
  <si>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</si>
  <si>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</si>
  <si>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</si>
  <si>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</si>
  <si>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</si>
  <si>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</si>
  <si>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</si>
  <si>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</si>
  <si>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</si>
  <si>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</si>
  <si>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</si>
  <si>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</si>
  <si>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</si>
  <si>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</si>
  <si>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</si>
  <si>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</si>
  <si>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</si>
  <si>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</si>
  <si>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</si>
  <si>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</si>
  <si>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</si>
  <si>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</si>
  <si>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</si>
  <si>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</si>
  <si>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</si>
  <si>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</si>
  <si>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</si>
  <si>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</si>
  <si>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</si>
  <si>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</si>
  <si>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</si>
  <si>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</si>
  <si>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</si>
  <si>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</si>
  <si>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</si>
  <si>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</si>
  <si>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</si>
  <si>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</si>
  <si>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</si>
  <si>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</si>
  <si>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</si>
  <si>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</si>
  <si>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</si>
  <si>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</si>
  <si>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</si>
  <si>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</si>
  <si>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</si>
  <si>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</si>
  <si>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</si>
  <si>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</si>
  <si>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</si>
  <si>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</si>
  <si>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</si>
  <si>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</si>
  <si>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</si>
  <si>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</si>
  <si>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</si>
  <si>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</si>
  <si>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</si>
  <si>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</si>
  <si>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</si>
  <si>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</si>
  <si>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</si>
  <si>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</si>
  <si>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</si>
  <si>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</si>
  <si>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</si>
  <si>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</si>
  <si>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</si>
  <si>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</si>
  <si>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</si>
  <si>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</si>
  <si>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</si>
  <si>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</si>
  <si>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</si>
  <si>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</si>
  <si>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</si>
  <si>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</si>
  <si>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</si>
  <si>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</si>
  <si>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</si>
  <si>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Present Value</t>
  </si>
  <si>
    <t>Ending Cash Position</t>
  </si>
  <si>
    <t>+ Interest Bearing Debt</t>
  </si>
  <si>
    <t>Non-operating Assets</t>
  </si>
  <si>
    <t>= Non-op Asset less Debt and Minority interest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</si>
  <si>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</si>
  <si>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</si>
  <si>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</si>
  <si>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</si>
  <si>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</si>
  <si>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</si>
  <si>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</si>
  <si>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</si>
  <si>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</si>
  <si>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</si>
  <si>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</si>
  <si>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</si>
  <si>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</si>
  <si>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</si>
  <si>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</si>
  <si>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</si>
  <si>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</si>
  <si>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</si>
  <si>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</si>
  <si>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</si>
  <si>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</si>
  <si>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</si>
  <si>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</si>
  <si>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</si>
  <si>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</si>
  <si>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</si>
  <si>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</si>
  <si>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</si>
  <si>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</si>
  <si>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</si>
  <si>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Nominal Rf</t>
  </si>
  <si>
    <t>+ ERP</t>
  </si>
  <si>
    <t>NOPAT Growth rate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</si>
  <si>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</si>
  <si>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</si>
  <si>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</si>
  <si>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</si>
  <si>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</si>
  <si>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</si>
  <si>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</si>
  <si>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</si>
  <si>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</si>
  <si>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</si>
  <si>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</si>
  <si>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</si>
  <si>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</si>
  <si>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</si>
  <si>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</si>
  <si>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</si>
  <si>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</si>
  <si>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</si>
  <si>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</si>
  <si>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</si>
  <si>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</si>
  <si>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</si>
  <si>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PV of Value Inflow</t>
  </si>
  <si>
    <t>PP&amp;E &amp; related assets</t>
  </si>
  <si>
    <t>Biological assets</t>
  </si>
  <si>
    <t>1. Is the company's balance sheet strong?  (Measured by Liquidity)</t>
  </si>
  <si>
    <t>NOPAT margin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</si>
  <si>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</si>
  <si>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</si>
  <si>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Book Current Ratio</t>
  </si>
  <si>
    <t>Book Quick Ratio</t>
  </si>
  <si>
    <t>Book Cash Ratio</t>
  </si>
  <si>
    <t>ST Cash-debt Ratio</t>
  </si>
  <si>
    <t>LT Cash-debt Ratio</t>
  </si>
  <si>
    <t>Total Liabilities</t>
  </si>
  <si>
    <t>Debt to CE Ratio</t>
  </si>
  <si>
    <t>ST Quick Ratio</t>
  </si>
  <si>
    <t>LT Quick Ratio</t>
  </si>
  <si>
    <t>Allocation Analysis</t>
  </si>
  <si>
    <t>2. The probability of correctly forecasting the FCF based on the investment category</t>
  </si>
  <si>
    <t>1. The valuation quality rating (proxy of the "Error Term")</t>
  </si>
  <si>
    <t>A = Upside in event of a win</t>
  </si>
  <si>
    <t>B = Downside in event of a loss</t>
  </si>
  <si>
    <t>R = A/B</t>
  </si>
  <si>
    <t>W = The estimated probability of win</t>
  </si>
  <si>
    <t>3. The business quality rating (proxy for not overestimating the exit)</t>
  </si>
  <si>
    <t>capped at</t>
  </si>
  <si>
    <t>= Net Non-operating Assets per share</t>
  </si>
  <si>
    <t>Expected Exit Price</t>
  </si>
  <si>
    <t>Investment Checklist</t>
  </si>
  <si>
    <t>1. Value Trap</t>
  </si>
  <si>
    <t>2. Growth Trap</t>
  </si>
  <si>
    <t>Frd. 6M DPS</t>
  </si>
  <si>
    <t>Expected Equity Value =</t>
  </si>
  <si>
    <t>Expected Equity Value</t>
  </si>
  <si>
    <t>Worst Case Exit Price</t>
  </si>
  <si>
    <t>Valuation Ouput</t>
  </si>
  <si>
    <t>Expected Exit Price =</t>
  </si>
  <si>
    <t>Ex-post Cost per share =</t>
  </si>
  <si>
    <t>Ex-ante</t>
  </si>
  <si>
    <t>Ex-post</t>
  </si>
  <si>
    <t>Best Guess Market Exit Price</t>
  </si>
  <si>
    <t>4. The probability of an ex-post recession affecting the company</t>
  </si>
  <si>
    <t>FY</t>
  </si>
  <si>
    <t>CN</t>
  </si>
  <si>
    <t>Consumer Discretionary, 12.4y</t>
  </si>
  <si>
    <t>% Allocation</t>
  </si>
  <si>
    <r>
      <t>Kelly's Formula: [W – (1 – W)/R] / K, Where</t>
    </r>
    <r>
      <rPr>
        <u/>
        <sz val="11"/>
        <color rgb="FF000000"/>
        <rFont val="Times New Roman"/>
        <family val="1"/>
      </rPr>
      <t xml:space="preserve"> K =</t>
    </r>
  </si>
  <si>
    <t>Performance Target =</t>
  </si>
  <si>
    <t>a) Don't buy a mediocre value stock with low trading volume and mediocre dividend</t>
  </si>
  <si>
    <t>b) It's far better to buy a wonderful company at a fair price than a fair company at a wonderful price, but it takes more efforts on research</t>
  </si>
  <si>
    <t>a) Don't buy a High growth company with unproven products or products you don't trust</t>
  </si>
  <si>
    <t>b) Don't buy into unsustainable PE ratios</t>
  </si>
  <si>
    <t>1382.HK</t>
  </si>
  <si>
    <t>PACIFICTEXTILES</t>
  </si>
  <si>
    <t>Vietnam</t>
  </si>
  <si>
    <t>PRC</t>
  </si>
  <si>
    <t>Bangladesh</t>
  </si>
  <si>
    <t>Hong Kong</t>
  </si>
  <si>
    <t>Indonesia</t>
  </si>
  <si>
    <t>Sri Lanka</t>
  </si>
  <si>
    <t>Cambodia</t>
  </si>
  <si>
    <t>American Countries</t>
  </si>
  <si>
    <t>Others</t>
  </si>
  <si>
    <t>全球最大訂制針織布生産商之一，專注生産複雜的增值布料</t>
  </si>
  <si>
    <t>1. 客戶集中度很高, UNIQLO一家就占約40%
2. 依賴自由的國際貿易環境
3. 有輕微的負債壓力，存貨周轉率下降</t>
  </si>
  <si>
    <t>1. 東麗Toray Industries的子公司(佔28%)和代工廠
2. 為UNIQLO代工</t>
  </si>
  <si>
    <t>Slow Growers</t>
  </si>
  <si>
    <t>1.工廠轉向東南亞
2.中國紡織業未來會好轉</t>
  </si>
  <si>
    <t>1. 中國PPE投資最大，但近年中國人力成本上升、22年經濟差。
2. 轉移東南亞的再投資成本很高
3. 產業中游。近期上游原材料價格因通脹而上升</t>
  </si>
  <si>
    <t>non-perishable</t>
  </si>
  <si>
    <t>What Went Wrong?</t>
  </si>
  <si>
    <t>Can it be Fixed?</t>
  </si>
  <si>
    <t>DuPont Formula</t>
  </si>
  <si>
    <t>EBIT / Sales</t>
  </si>
  <si>
    <t>Sales / Total Assets</t>
  </si>
  <si>
    <t>Total Assets / Common Equity</t>
  </si>
  <si>
    <t>ROE = EBIT / Common Equity</t>
  </si>
  <si>
    <t>SGR = b * ROE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</si>
</sst>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#,##0.00;[Red]#,##0.00"/>
    <numFmt numFmtId="181" formatCode="&quot;in&quot;\ 0\ &quot;Months&quot;"/>
    <numFmt numFmtId="182" formatCode="&quot;Breakeven Price = &quot;0.00"/>
    <numFmt numFmtId="183" formatCode="&quot;Next Buy Price = &quot;0.00"/>
    <numFmt numFmtId="184" formatCode="0.0%"/>
    <numFmt numFmtId="185" formatCode="&quot;FCFF per share = &quot;#,##0.00"/>
  </numFmts>
  <fonts count="32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  <font>
      <sz val="9"/>
      <name val="Arial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</fills>
  <borders count="121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 style="thin">
        <color indexed="64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69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0" xfId="0" applyNumberFormat="1" applyFont="1" applyFill="1" applyBorder="1" applyAlignment="1">
      <alignment horizontal="right"/>
    </xf>
    <xf numFmtId="0" fontId="2" fillId="9" borderId="21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29" xfId="0" applyFont="1" applyBorder="1" applyAlignment="1">
      <alignment horizontal="center" wrapText="1"/>
    </xf>
    <xf numFmtId="0" fontId="19" fillId="0" borderId="30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1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19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8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19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3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39" xfId="0" applyNumberFormat="1" applyFont="1" applyFill="1" applyBorder="1" applyAlignment="1">
      <alignment horizontal="left"/>
    </xf>
    <xf numFmtId="167" fontId="1" fillId="0" borderId="40" xfId="0" applyNumberFormat="1" applyFont="1" applyBorder="1" applyAlignment="1">
      <alignment horizontal="center"/>
    </xf>
    <xf numFmtId="166" fontId="1" fillId="0" borderId="24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" fillId="0" borderId="41" xfId="0" applyNumberFormat="1" applyFont="1" applyBorder="1" applyAlignment="1">
      <alignment horizontal="center"/>
    </xf>
    <xf numFmtId="167" fontId="1" fillId="0" borderId="43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8" xfId="0" applyNumberFormat="1" applyFont="1" applyFill="1" applyBorder="1" applyAlignment="1">
      <alignment horizontal="center"/>
    </xf>
    <xf numFmtId="0" fontId="1" fillId="0" borderId="48" xfId="0" applyFont="1" applyBorder="1" applyAlignment="1">
      <alignment horizontal="center"/>
    </xf>
    <xf numFmtId="3" fontId="5" fillId="0" borderId="41" xfId="0" applyNumberFormat="1" applyFont="1" applyBorder="1" applyAlignment="1">
      <alignment horizontal="center"/>
    </xf>
    <xf numFmtId="166" fontId="1" fillId="0" borderId="43" xfId="0" applyNumberFormat="1" applyFont="1" applyBorder="1" applyAlignment="1">
      <alignment horizontal="center"/>
    </xf>
    <xf numFmtId="0" fontId="5" fillId="0" borderId="49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0" xfId="0" applyFont="1" applyBorder="1" applyAlignment="1">
      <alignment horizontal="right" wrapText="1"/>
    </xf>
    <xf numFmtId="0" fontId="19" fillId="0" borderId="51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0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5" xfId="0" applyNumberFormat="1" applyFont="1" applyBorder="1" applyAlignment="1">
      <alignment horizontal="center"/>
    </xf>
    <xf numFmtId="4" fontId="1" fillId="0" borderId="54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7" xfId="0" applyNumberFormat="1" applyFont="1" applyBorder="1" applyAlignment="1">
      <alignment horizontal="center"/>
    </xf>
    <xf numFmtId="10" fontId="1" fillId="14" borderId="52" xfId="0" applyNumberFormat="1" applyFont="1" applyFill="1" applyBorder="1" applyAlignment="1">
      <alignment horizontal="center"/>
    </xf>
    <xf numFmtId="10" fontId="1" fillId="14" borderId="53" xfId="0" applyNumberFormat="1" applyFont="1" applyFill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0" fontId="1" fillId="0" borderId="59" xfId="0" applyNumberFormat="1" applyFont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3" fontId="2" fillId="8" borderId="41" xfId="0" applyNumberFormat="1" applyFont="1" applyFill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61" xfId="0" applyNumberFormat="1" applyFont="1" applyFill="1" applyBorder="1" applyAlignment="1">
      <alignment horizontal="center"/>
    </xf>
    <xf numFmtId="3" fontId="2" fillId="8" borderId="62" xfId="0" applyNumberFormat="1" applyFont="1" applyFill="1" applyBorder="1" applyAlignment="1">
      <alignment horizontal="center"/>
    </xf>
    <xf numFmtId="0" fontId="19" fillId="0" borderId="64" xfId="0" applyFont="1" applyBorder="1" applyAlignment="1">
      <alignment horizontal="center" wrapText="1"/>
    </xf>
    <xf numFmtId="0" fontId="19" fillId="0" borderId="65" xfId="0" applyFont="1" applyBorder="1" applyAlignment="1">
      <alignment horizontal="center" wrapText="1"/>
    </xf>
    <xf numFmtId="4" fontId="7" fillId="13" borderId="41" xfId="0" applyNumberFormat="1" applyFont="1" applyFill="1" applyBorder="1" applyAlignment="1">
      <alignment horizontal="center"/>
    </xf>
    <xf numFmtId="4" fontId="7" fillId="13" borderId="62" xfId="0" applyNumberFormat="1" applyFont="1" applyFill="1" applyBorder="1" applyAlignment="1">
      <alignment horizontal="center"/>
    </xf>
    <xf numFmtId="4" fontId="7" fillId="13" borderId="43" xfId="0" applyNumberFormat="1" applyFont="1" applyFill="1" applyBorder="1" applyAlignment="1">
      <alignment horizontal="center"/>
    </xf>
    <xf numFmtId="4" fontId="7" fillId="13" borderId="63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19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19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59" xfId="0" applyFont="1" applyFill="1" applyBorder="1" applyAlignment="1">
      <alignment horizontal="center"/>
    </xf>
    <xf numFmtId="3" fontId="1" fillId="2" borderId="67" xfId="0" applyNumberFormat="1" applyFont="1" applyFill="1" applyBorder="1" applyAlignment="1">
      <alignment horizontal="center"/>
    </xf>
    <xf numFmtId="3" fontId="1" fillId="0" borderId="67" xfId="0" applyNumberFormat="1" applyFont="1" applyBorder="1" applyAlignment="1">
      <alignment horizontal="center"/>
    </xf>
    <xf numFmtId="4" fontId="1" fillId="0" borderId="43" xfId="0" applyNumberFormat="1" applyFont="1" applyBorder="1" applyAlignment="1">
      <alignment horizontal="center"/>
    </xf>
    <xf numFmtId="0" fontId="12" fillId="0" borderId="0" xfId="0" applyFont="1"/>
    <xf numFmtId="4" fontId="1" fillId="2" borderId="35" xfId="0" applyNumberFormat="1" applyFont="1" applyFill="1" applyBorder="1" applyAlignment="1">
      <alignment horizontal="center"/>
    </xf>
    <xf numFmtId="4" fontId="1" fillId="2" borderId="36" xfId="0" applyNumberFormat="1" applyFont="1" applyFill="1" applyBorder="1" applyAlignment="1">
      <alignment horizontal="center"/>
    </xf>
    <xf numFmtId="4" fontId="5" fillId="13" borderId="41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3" xfId="0" applyNumberFormat="1" applyFont="1" applyFill="1" applyBorder="1" applyAlignment="1">
      <alignment horizontal="center"/>
    </xf>
    <xf numFmtId="3" fontId="1" fillId="2" borderId="68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1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10" fontId="1" fillId="0" borderId="72" xfId="0" applyNumberFormat="1" applyFont="1" applyBorder="1" applyAlignment="1">
      <alignment horizontal="center"/>
    </xf>
    <xf numFmtId="10" fontId="1" fillId="0" borderId="73" xfId="0" applyNumberFormat="1" applyFont="1" applyBorder="1" applyAlignment="1">
      <alignment horizontal="center"/>
    </xf>
    <xf numFmtId="166" fontId="1" fillId="0" borderId="73" xfId="0" applyNumberFormat="1" applyFont="1" applyBorder="1" applyAlignment="1">
      <alignment horizontal="center"/>
    </xf>
    <xf numFmtId="4" fontId="1" fillId="0" borderId="74" xfId="0" applyNumberFormat="1" applyFont="1" applyBorder="1" applyAlignment="1">
      <alignment horizontal="center"/>
    </xf>
    <xf numFmtId="3" fontId="5" fillId="0" borderId="41" xfId="0" applyNumberFormat="1" applyFont="1" applyBorder="1"/>
    <xf numFmtId="10" fontId="5" fillId="0" borderId="41" xfId="0" applyNumberFormat="1" applyFont="1" applyBorder="1" applyAlignment="1">
      <alignment horizontal="center"/>
    </xf>
    <xf numFmtId="3" fontId="1" fillId="0" borderId="41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1" xfId="0" applyNumberFormat="1" applyFont="1" applyBorder="1" applyAlignment="1">
      <alignment horizontal="center"/>
    </xf>
    <xf numFmtId="180" fontId="5" fillId="0" borderId="0" xfId="0" applyNumberFormat="1" applyFont="1" applyAlignment="1">
      <alignment horizontal="left"/>
    </xf>
    <xf numFmtId="3" fontId="1" fillId="0" borderId="20" xfId="0" applyNumberFormat="1" applyFont="1" applyBorder="1" applyAlignment="1">
      <alignment horizontal="center"/>
    </xf>
    <xf numFmtId="3" fontId="7" fillId="0" borderId="41" xfId="0" applyNumberFormat="1" applyFont="1" applyBorder="1"/>
    <xf numFmtId="38" fontId="2" fillId="8" borderId="16" xfId="0" applyNumberFormat="1" applyFont="1" applyFill="1" applyBorder="1" applyAlignment="1">
      <alignment horizontal="center"/>
    </xf>
    <xf numFmtId="10" fontId="1" fillId="0" borderId="32" xfId="0" applyNumberFormat="1" applyFont="1" applyBorder="1" applyAlignment="1">
      <alignment horizontal="center"/>
    </xf>
    <xf numFmtId="10" fontId="1" fillId="0" borderId="34" xfId="0" applyNumberFormat="1" applyFont="1" applyBorder="1" applyAlignment="1">
      <alignment horizontal="center"/>
    </xf>
    <xf numFmtId="10" fontId="1" fillId="0" borderId="23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19" xfId="0" applyNumberFormat="1" applyFont="1" applyFill="1" applyBorder="1" applyAlignment="1">
      <alignment horizontal="center"/>
    </xf>
    <xf numFmtId="176" fontId="2" fillId="20" borderId="13" xfId="0" applyNumberFormat="1" applyFont="1" applyFill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0" fontId="1" fillId="0" borderId="76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0" fontId="3" fillId="0" borderId="49" xfId="0" applyFont="1" applyBorder="1" applyAlignment="1">
      <alignment horizontal="center"/>
    </xf>
    <xf numFmtId="10" fontId="1" fillId="0" borderId="43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3" fontId="2" fillId="9" borderId="73" xfId="0" applyNumberFormat="1" applyFont="1" applyFill="1" applyBorder="1" applyAlignment="1">
      <alignment horizontal="center"/>
    </xf>
    <xf numFmtId="3" fontId="1" fillId="0" borderId="73" xfId="0" applyNumberFormat="1" applyFont="1" applyBorder="1" applyAlignment="1">
      <alignment horizontal="center"/>
    </xf>
    <xf numFmtId="3" fontId="1" fillId="0" borderId="78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1" fillId="9" borderId="73" xfId="0" applyNumberFormat="1" applyFont="1" applyFill="1" applyBorder="1" applyAlignment="1">
      <alignment horizontal="right"/>
    </xf>
    <xf numFmtId="0" fontId="19" fillId="0" borderId="79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3" xfId="0" applyNumberFormat="1" applyFont="1" applyFill="1" applyBorder="1" applyAlignment="1">
      <alignment horizontal="center"/>
    </xf>
    <xf numFmtId="4" fontId="3" fillId="2" borderId="80" xfId="0" applyNumberFormat="1" applyFont="1" applyFill="1" applyBorder="1" applyAlignment="1">
      <alignment horizontal="right"/>
    </xf>
    <xf numFmtId="0" fontId="5" fillId="0" borderId="81" xfId="0" applyFont="1" applyBorder="1"/>
    <xf numFmtId="0" fontId="5" fillId="0" borderId="82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19" xfId="0" applyNumberFormat="1" applyFont="1" applyBorder="1" applyAlignment="1">
      <alignment horizontal="center"/>
    </xf>
    <xf numFmtId="3" fontId="5" fillId="0" borderId="19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1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181" fontId="2" fillId="8" borderId="46" xfId="0" applyNumberFormat="1" applyFont="1" applyFill="1" applyBorder="1" applyAlignment="1">
      <alignment horizontal="center"/>
    </xf>
    <xf numFmtId="164" fontId="7" fillId="0" borderId="83" xfId="0" applyNumberFormat="1" applyFont="1" applyBorder="1" applyAlignment="1">
      <alignment horizontal="center"/>
    </xf>
    <xf numFmtId="178" fontId="2" fillId="8" borderId="53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2" xfId="0" applyNumberFormat="1" applyFont="1" applyFill="1" applyBorder="1" applyAlignment="1">
      <alignment horizontal="center"/>
    </xf>
    <xf numFmtId="176" fontId="7" fillId="0" borderId="19" xfId="0" applyNumberFormat="1" applyFont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78" xfId="0" applyNumberFormat="1" applyFont="1" applyBorder="1" applyAlignment="1">
      <alignment horizontal="center"/>
    </xf>
    <xf numFmtId="3" fontId="5" fillId="0" borderId="73" xfId="0" applyNumberFormat="1" applyFont="1" applyBorder="1" applyAlignment="1">
      <alignment horizontal="center"/>
    </xf>
    <xf numFmtId="10" fontId="1" fillId="0" borderId="56" xfId="0" applyNumberFormat="1" applyFont="1" applyBorder="1" applyAlignment="1">
      <alignment horizontal="center"/>
    </xf>
    <xf numFmtId="182" fontId="27" fillId="0" borderId="9" xfId="0" applyNumberFormat="1" applyFont="1" applyBorder="1" applyAlignment="1">
      <alignment horizontal="center"/>
    </xf>
    <xf numFmtId="0" fontId="2" fillId="8" borderId="43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88" xfId="0" applyNumberFormat="1" applyFont="1" applyFill="1" applyBorder="1" applyAlignment="1">
      <alignment horizontal="center"/>
    </xf>
    <xf numFmtId="173" fontId="2" fillId="8" borderId="41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2" borderId="11" xfId="0" applyFont="1" applyFill="1" applyBorder="1" applyAlignment="1">
      <alignment horizontal="center"/>
    </xf>
    <xf numFmtId="4" fontId="1" fillId="2" borderId="43" xfId="0" applyNumberFormat="1" applyFont="1" applyFill="1" applyBorder="1" applyAlignment="1">
      <alignment horizontal="center"/>
    </xf>
    <xf numFmtId="0" fontId="3" fillId="0" borderId="2" xfId="0" applyFont="1" applyBorder="1"/>
    <xf numFmtId="10" fontId="2" fillId="15" borderId="68" xfId="0" applyNumberFormat="1" applyFont="1" applyFill="1" applyBorder="1" applyAlignment="1">
      <alignment horizontal="center"/>
    </xf>
    <xf numFmtId="3" fontId="2" fillId="8" borderId="66" xfId="0" applyNumberFormat="1" applyFont="1" applyFill="1" applyBorder="1" applyAlignment="1">
      <alignment horizontal="center"/>
    </xf>
    <xf numFmtId="3" fontId="2" fillId="15" borderId="66" xfId="0" applyNumberFormat="1" applyFont="1" applyFill="1" applyBorder="1" applyAlignment="1">
      <alignment horizontal="center"/>
    </xf>
    <xf numFmtId="0" fontId="1" fillId="0" borderId="33" xfId="0" quotePrefix="1" applyFont="1" applyBorder="1" applyAlignment="1">
      <alignment horizontal="left"/>
    </xf>
    <xf numFmtId="0" fontId="1" fillId="0" borderId="89" xfId="0" applyFont="1" applyBorder="1" applyAlignment="1">
      <alignment horizontal="right"/>
    </xf>
    <xf numFmtId="173" fontId="2" fillId="8" borderId="43" xfId="0" applyNumberFormat="1" applyFont="1" applyFill="1" applyBorder="1" applyAlignment="1">
      <alignment horizontal="center"/>
    </xf>
    <xf numFmtId="0" fontId="8" fillId="0" borderId="67" xfId="0" applyFont="1" applyBorder="1" applyAlignment="1">
      <alignment horizontal="right"/>
    </xf>
    <xf numFmtId="10" fontId="2" fillId="19" borderId="67" xfId="0" applyNumberFormat="1" applyFont="1" applyFill="1" applyBorder="1" applyAlignment="1">
      <alignment horizontal="center"/>
    </xf>
    <xf numFmtId="10" fontId="7" fillId="0" borderId="67" xfId="0" applyNumberFormat="1" applyFont="1" applyBorder="1" applyAlignment="1">
      <alignment horizontal="center"/>
    </xf>
    <xf numFmtId="10" fontId="1" fillId="0" borderId="67" xfId="0" applyNumberFormat="1" applyFont="1" applyBorder="1" applyAlignment="1">
      <alignment horizontal="center"/>
    </xf>
    <xf numFmtId="3" fontId="1" fillId="13" borderId="93" xfId="0" applyNumberFormat="1" applyFont="1" applyFill="1" applyBorder="1" applyAlignment="1">
      <alignment horizontal="center"/>
    </xf>
    <xf numFmtId="3" fontId="1" fillId="0" borderId="93" xfId="0" applyNumberFormat="1" applyFont="1" applyBorder="1" applyAlignment="1">
      <alignment horizontal="center"/>
    </xf>
    <xf numFmtId="0" fontId="1" fillId="0" borderId="43" xfId="0" applyFont="1" applyBorder="1"/>
    <xf numFmtId="3" fontId="1" fillId="0" borderId="43" xfId="0" applyNumberFormat="1" applyFont="1" applyBorder="1" applyAlignment="1">
      <alignment horizontal="center"/>
    </xf>
    <xf numFmtId="3" fontId="1" fillId="2" borderId="43" xfId="0" applyNumberFormat="1" applyFont="1" applyFill="1" applyBorder="1" applyAlignment="1">
      <alignment horizontal="center"/>
    </xf>
    <xf numFmtId="0" fontId="8" fillId="0" borderId="70" xfId="0" applyFont="1" applyBorder="1" applyAlignment="1">
      <alignment horizontal="right"/>
    </xf>
    <xf numFmtId="10" fontId="1" fillId="0" borderId="70" xfId="0" applyNumberFormat="1" applyFont="1" applyBorder="1" applyAlignment="1">
      <alignment horizontal="center"/>
    </xf>
    <xf numFmtId="10" fontId="7" fillId="0" borderId="70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74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10" fontId="5" fillId="0" borderId="73" xfId="0" applyNumberFormat="1" applyFont="1" applyBorder="1" applyAlignment="1">
      <alignment horizontal="center"/>
    </xf>
    <xf numFmtId="3" fontId="5" fillId="0" borderId="74" xfId="0" applyNumberFormat="1" applyFont="1" applyBorder="1" applyAlignment="1">
      <alignment horizontal="center"/>
    </xf>
    <xf numFmtId="10" fontId="7" fillId="0" borderId="73" xfId="0" applyNumberFormat="1" applyFont="1" applyBorder="1" applyAlignment="1">
      <alignment horizontal="center"/>
    </xf>
    <xf numFmtId="3" fontId="1" fillId="0" borderId="94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84" xfId="0" applyNumberFormat="1" applyFont="1" applyBorder="1" applyAlignment="1">
      <alignment horizontal="center"/>
    </xf>
    <xf numFmtId="3" fontId="1" fillId="0" borderId="63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95" xfId="0" applyFont="1" applyBorder="1" applyAlignment="1">
      <alignment horizontal="center"/>
    </xf>
    <xf numFmtId="0" fontId="7" fillId="0" borderId="96" xfId="0" applyFont="1" applyBorder="1" applyAlignment="1">
      <alignment horizontal="center"/>
    </xf>
    <xf numFmtId="0" fontId="2" fillId="9" borderId="97" xfId="0" applyFont="1" applyFill="1" applyBorder="1" applyAlignment="1">
      <alignment horizontal="center"/>
    </xf>
    <xf numFmtId="3" fontId="1" fillId="0" borderId="98" xfId="0" applyNumberFormat="1" applyFont="1" applyBorder="1" applyAlignment="1">
      <alignment horizontal="center"/>
    </xf>
    <xf numFmtId="0" fontId="15" fillId="0" borderId="11" xfId="0" applyFont="1" applyBorder="1"/>
    <xf numFmtId="10" fontId="7" fillId="0" borderId="43" xfId="0" applyNumberFormat="1" applyFont="1" applyBorder="1" applyAlignment="1">
      <alignment horizontal="center"/>
    </xf>
    <xf numFmtId="10" fontId="7" fillId="0" borderId="63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83" fontId="27" fillId="0" borderId="11" xfId="0" applyNumberFormat="1" applyFont="1" applyBorder="1" applyAlignment="1">
      <alignment horizontal="center"/>
    </xf>
    <xf numFmtId="3" fontId="7" fillId="0" borderId="9" xfId="0" applyNumberFormat="1" applyFont="1" applyBorder="1"/>
    <xf numFmtId="184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5" fillId="13" borderId="41" xfId="0" applyNumberFormat="1" applyFont="1" applyFill="1" applyBorder="1" applyAlignment="1">
      <alignment horizontal="center"/>
    </xf>
    <xf numFmtId="4" fontId="7" fillId="0" borderId="41" xfId="0" applyNumberFormat="1" applyFont="1" applyBorder="1" applyAlignment="1">
      <alignment horizontal="center"/>
    </xf>
    <xf numFmtId="10" fontId="7" fillId="0" borderId="4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56" xfId="0" applyFont="1" applyBorder="1"/>
    <xf numFmtId="10" fontId="2" fillId="8" borderId="41" xfId="0" applyNumberFormat="1" applyFont="1" applyFill="1" applyBorder="1" applyAlignment="1">
      <alignment horizontal="center"/>
    </xf>
    <xf numFmtId="0" fontId="5" fillId="0" borderId="55" xfId="0" applyFont="1" applyBorder="1"/>
    <xf numFmtId="3" fontId="1" fillId="0" borderId="100" xfId="0" applyNumberFormat="1" applyFont="1" applyBorder="1" applyAlignment="1">
      <alignment horizontal="left"/>
    </xf>
    <xf numFmtId="4" fontId="4" fillId="8" borderId="101" xfId="0" applyNumberFormat="1" applyFont="1" applyFill="1" applyBorder="1" applyAlignment="1">
      <alignment horizontal="right"/>
    </xf>
    <xf numFmtId="4" fontId="1" fillId="11" borderId="2" xfId="0" applyNumberFormat="1" applyFont="1" applyFill="1" applyBorder="1" applyAlignment="1">
      <alignment horizontal="center"/>
    </xf>
    <xf numFmtId="185" fontId="1" fillId="0" borderId="63" xfId="0" applyNumberFormat="1" applyFont="1" applyBorder="1" applyAlignment="1">
      <alignment horizontal="center"/>
    </xf>
    <xf numFmtId="4" fontId="1" fillId="10" borderId="77" xfId="0" applyNumberFormat="1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10" fontId="1" fillId="0" borderId="46" xfId="0" applyNumberFormat="1" applyFont="1" applyBorder="1" applyAlignment="1">
      <alignment horizontal="center"/>
    </xf>
    <xf numFmtId="4" fontId="5" fillId="0" borderId="71" xfId="0" applyNumberFormat="1" applyFont="1" applyBorder="1" applyAlignment="1">
      <alignment horizontal="center"/>
    </xf>
    <xf numFmtId="4" fontId="5" fillId="0" borderId="52" xfId="0" applyNumberFormat="1" applyFont="1" applyBorder="1" applyAlignment="1">
      <alignment horizontal="center"/>
    </xf>
    <xf numFmtId="4" fontId="5" fillId="0" borderId="102" xfId="0" applyNumberFormat="1" applyFont="1" applyBorder="1" applyAlignment="1">
      <alignment horizontal="center"/>
    </xf>
    <xf numFmtId="0" fontId="15" fillId="21" borderId="103" xfId="0" applyFont="1" applyFill="1" applyBorder="1" applyAlignment="1">
      <alignment horizontal="center"/>
    </xf>
    <xf numFmtId="4" fontId="5" fillId="0" borderId="104" xfId="0" applyNumberFormat="1" applyFont="1" applyBorder="1" applyAlignment="1">
      <alignment horizontal="center"/>
    </xf>
    <xf numFmtId="4" fontId="15" fillId="0" borderId="105" xfId="0" applyNumberFormat="1" applyFont="1" applyBorder="1" applyAlignment="1">
      <alignment horizontal="center"/>
    </xf>
    <xf numFmtId="4" fontId="5" fillId="0" borderId="107" xfId="0" applyNumberFormat="1" applyFont="1" applyBorder="1" applyAlignment="1">
      <alignment horizontal="center"/>
    </xf>
    <xf numFmtId="4" fontId="5" fillId="0" borderId="106" xfId="0" applyNumberFormat="1" applyFont="1" applyBorder="1" applyAlignment="1">
      <alignment horizontal="center"/>
    </xf>
    <xf numFmtId="0" fontId="15" fillId="0" borderId="11" xfId="0" applyFont="1" applyBorder="1" applyAlignment="1">
      <alignment horizontal="left"/>
    </xf>
    <xf numFmtId="0" fontId="16" fillId="0" borderId="9" xfId="0" applyFont="1" applyBorder="1"/>
    <xf numFmtId="0" fontId="7" fillId="0" borderId="55" xfId="0" applyFont="1" applyBorder="1" applyAlignment="1">
      <alignment horizontal="left"/>
    </xf>
    <xf numFmtId="10" fontId="5" fillId="0" borderId="108" xfId="0" applyNumberFormat="1" applyFont="1" applyBorder="1" applyAlignment="1">
      <alignment horizontal="center"/>
    </xf>
    <xf numFmtId="10" fontId="15" fillId="0" borderId="110" xfId="0" applyNumberFormat="1" applyFont="1" applyBorder="1" applyAlignment="1">
      <alignment horizontal="center"/>
    </xf>
    <xf numFmtId="4" fontId="5" fillId="0" borderId="61" xfId="0" applyNumberFormat="1" applyFont="1" applyBorder="1" applyAlignment="1">
      <alignment horizontal="center"/>
    </xf>
    <xf numFmtId="4" fontId="5" fillId="0" borderId="62" xfId="0" applyNumberFormat="1" applyFont="1" applyBorder="1" applyAlignment="1">
      <alignment horizontal="center"/>
    </xf>
    <xf numFmtId="4" fontId="5" fillId="0" borderId="63" xfId="0" applyNumberFormat="1" applyFont="1" applyBorder="1" applyAlignment="1">
      <alignment horizontal="center"/>
    </xf>
    <xf numFmtId="2" fontId="7" fillId="0" borderId="13" xfId="0" applyNumberFormat="1" applyFont="1" applyBorder="1" applyAlignment="1">
      <alignment horizontal="center"/>
    </xf>
    <xf numFmtId="10" fontId="2" fillId="0" borderId="9" xfId="0" applyNumberFormat="1" applyFont="1" applyBorder="1" applyAlignment="1">
      <alignment horizontal="left"/>
    </xf>
    <xf numFmtId="10" fontId="7" fillId="0" borderId="11" xfId="0" applyNumberFormat="1" applyFont="1" applyBorder="1" applyAlignment="1">
      <alignment horizontal="left"/>
    </xf>
    <xf numFmtId="0" fontId="24" fillId="0" borderId="0" xfId="0" applyFont="1"/>
    <xf numFmtId="4" fontId="27" fillId="13" borderId="101" xfId="0" applyNumberFormat="1" applyFont="1" applyFill="1" applyBorder="1" applyAlignment="1">
      <alignment horizontal="right"/>
    </xf>
    <xf numFmtId="0" fontId="1" fillId="0" borderId="11" xfId="0" applyFont="1" applyBorder="1" applyAlignment="1">
      <alignment horizontal="center" vertical="center"/>
    </xf>
    <xf numFmtId="4" fontId="1" fillId="0" borderId="9" xfId="0" applyNumberFormat="1" applyFont="1" applyBorder="1" applyAlignment="1">
      <alignment horizontal="center"/>
    </xf>
    <xf numFmtId="0" fontId="27" fillId="0" borderId="9" xfId="0" applyFont="1" applyBorder="1" applyAlignment="1">
      <alignment horizontal="center" wrapText="1"/>
    </xf>
    <xf numFmtId="10" fontId="1" fillId="0" borderId="117" xfId="0" applyNumberFormat="1" applyFont="1" applyBorder="1" applyAlignment="1">
      <alignment horizontal="center"/>
    </xf>
    <xf numFmtId="10" fontId="1" fillId="0" borderId="118" xfId="0" applyNumberFormat="1" applyFont="1" applyBorder="1" applyAlignment="1">
      <alignment horizontal="center"/>
    </xf>
    <xf numFmtId="2" fontId="1" fillId="0" borderId="118" xfId="0" applyNumberFormat="1" applyFont="1" applyBorder="1" applyAlignment="1">
      <alignment horizontal="center"/>
    </xf>
    <xf numFmtId="10" fontId="1" fillId="0" borderId="119" xfId="0" applyNumberFormat="1" applyFont="1" applyBorder="1" applyAlignment="1">
      <alignment horizontal="center"/>
    </xf>
    <xf numFmtId="0" fontId="5" fillId="0" borderId="65" xfId="0" applyFont="1" applyBorder="1" applyAlignment="1">
      <alignment horizontal="center"/>
    </xf>
    <xf numFmtId="10" fontId="1" fillId="0" borderId="120" xfId="0" applyNumberFormat="1" applyFont="1" applyBorder="1" applyAlignment="1">
      <alignment horizontal="center"/>
    </xf>
    <xf numFmtId="0" fontId="2" fillId="9" borderId="114" xfId="0" applyFont="1" applyFill="1" applyBorder="1" applyAlignment="1">
      <alignment horizontal="center" vertical="center" wrapText="1"/>
    </xf>
    <xf numFmtId="0" fontId="2" fillId="9" borderId="115" xfId="0" applyFont="1" applyFill="1" applyBorder="1" applyAlignment="1">
      <alignment horizontal="center" vertical="center" wrapText="1"/>
    </xf>
    <xf numFmtId="0" fontId="2" fillId="9" borderId="116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2" fontId="7" fillId="0" borderId="13" xfId="0" applyNumberFormat="1" applyFont="1" applyBorder="1" applyAlignment="1">
      <alignment horizontal="center"/>
    </xf>
    <xf numFmtId="2" fontId="7" fillId="0" borderId="13" xfId="0" applyNumberFormat="1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171" fontId="1" fillId="0" borderId="26" xfId="0" applyNumberFormat="1" applyFont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6" fontId="3" fillId="0" borderId="44" xfId="0" applyNumberFormat="1" applyFont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85" xfId="0" applyFont="1" applyFill="1" applyBorder="1" applyAlignment="1">
      <alignment horizontal="center" vertical="center" wrapText="1"/>
    </xf>
    <xf numFmtId="0" fontId="13" fillId="9" borderId="86" xfId="0" applyFont="1" applyFill="1" applyBorder="1" applyAlignment="1">
      <alignment horizontal="center" vertical="center"/>
    </xf>
    <xf numFmtId="0" fontId="13" fillId="9" borderId="87" xfId="0" applyFont="1" applyFill="1" applyBorder="1" applyAlignment="1">
      <alignment horizontal="center" vertical="center"/>
    </xf>
    <xf numFmtId="0" fontId="2" fillId="9" borderId="19" xfId="0" applyFont="1" applyFill="1" applyBorder="1" applyAlignment="1">
      <alignment horizontal="left" vertical="center" wrapText="1"/>
    </xf>
    <xf numFmtId="0" fontId="7" fillId="8" borderId="19" xfId="0" applyFont="1" applyFill="1" applyBorder="1"/>
    <xf numFmtId="0" fontId="2" fillId="9" borderId="37" xfId="0" applyFont="1" applyFill="1" applyBorder="1" applyAlignment="1">
      <alignment horizontal="center"/>
    </xf>
    <xf numFmtId="0" fontId="2" fillId="9" borderId="38" xfId="0" applyFont="1" applyFill="1" applyBorder="1" applyAlignment="1">
      <alignment horizontal="center"/>
    </xf>
    <xf numFmtId="3" fontId="2" fillId="9" borderId="20" xfId="0" applyNumberFormat="1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165" fontId="5" fillId="0" borderId="46" xfId="0" applyNumberFormat="1" applyFont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4" fontId="5" fillId="0" borderId="43" xfId="0" applyNumberFormat="1" applyFont="1" applyBorder="1" applyAlignment="1">
      <alignment horizontal="center" vertical="center"/>
    </xf>
    <xf numFmtId="0" fontId="15" fillId="0" borderId="69" xfId="0" applyFont="1" applyBorder="1" applyAlignment="1">
      <alignment horizontal="center" vertical="center"/>
    </xf>
    <xf numFmtId="0" fontId="15" fillId="0" borderId="70" xfId="0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7" fillId="8" borderId="13" xfId="0" applyFont="1" applyFill="1" applyBorder="1"/>
    <xf numFmtId="10" fontId="2" fillId="16" borderId="90" xfId="0" applyNumberFormat="1" applyFont="1" applyFill="1" applyBorder="1" applyAlignment="1">
      <alignment horizontal="center"/>
    </xf>
    <xf numFmtId="10" fontId="2" fillId="16" borderId="89" xfId="0" applyNumberFormat="1" applyFont="1" applyFill="1" applyBorder="1" applyAlignment="1">
      <alignment horizontal="center"/>
    </xf>
    <xf numFmtId="0" fontId="2" fillId="9" borderId="25" xfId="0" applyFont="1" applyFill="1" applyBorder="1" applyAlignment="1">
      <alignment horizontal="center"/>
    </xf>
    <xf numFmtId="0" fontId="2" fillId="9" borderId="32" xfId="0" applyFont="1" applyFill="1" applyBorder="1" applyAlignment="1">
      <alignment horizontal="center"/>
    </xf>
    <xf numFmtId="10" fontId="2" fillId="8" borderId="91" xfId="0" applyNumberFormat="1" applyFont="1" applyFill="1" applyBorder="1" applyAlignment="1">
      <alignment horizontal="center"/>
    </xf>
    <xf numFmtId="10" fontId="2" fillId="8" borderId="92" xfId="0" applyNumberFormat="1" applyFont="1" applyFill="1" applyBorder="1" applyAlignment="1">
      <alignment horizontal="center"/>
    </xf>
    <xf numFmtId="0" fontId="1" fillId="12" borderId="13" xfId="0" applyFont="1" applyFill="1" applyBorder="1"/>
    <xf numFmtId="8" fontId="4" fillId="9" borderId="20" xfId="0" applyNumberFormat="1" applyFont="1" applyFill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0" fontId="5" fillId="0" borderId="13" xfId="0" applyFont="1" applyBorder="1"/>
    <xf numFmtId="168" fontId="1" fillId="0" borderId="13" xfId="0" applyNumberFormat="1" applyFont="1" applyBorder="1" applyAlignment="1">
      <alignment horizontal="center"/>
    </xf>
    <xf numFmtId="4" fontId="2" fillId="8" borderId="45" xfId="0" applyNumberFormat="1" applyFont="1" applyFill="1" applyBorder="1" applyAlignment="1">
      <alignment horizontal="center" vertical="center"/>
    </xf>
    <xf numFmtId="4" fontId="2" fillId="8" borderId="15" xfId="0" applyNumberFormat="1" applyFont="1" applyFill="1" applyBorder="1" applyAlignment="1">
      <alignment horizontal="center" vertical="center"/>
    </xf>
    <xf numFmtId="4" fontId="2" fillId="8" borderId="109" xfId="0" applyNumberFormat="1" applyFont="1" applyFill="1" applyBorder="1" applyAlignment="1">
      <alignment horizontal="center" vertical="center"/>
    </xf>
    <xf numFmtId="175" fontId="1" fillId="14" borderId="13" xfId="0" applyNumberFormat="1" applyFont="1" applyFill="1" applyBorder="1" applyAlignment="1">
      <alignment horizontal="center"/>
    </xf>
    <xf numFmtId="170" fontId="1" fillId="0" borderId="20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99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10" fontId="2" fillId="8" borderId="69" xfId="0" applyNumberFormat="1" applyFont="1" applyFill="1" applyBorder="1" applyAlignment="1">
      <alignment horizontal="center" vertical="center"/>
    </xf>
    <xf numFmtId="10" fontId="2" fillId="8" borderId="70" xfId="0" applyNumberFormat="1" applyFont="1" applyFill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0" fontId="2" fillId="9" borderId="111" xfId="0" applyFont="1" applyFill="1" applyBorder="1" applyAlignment="1">
      <alignment horizontal="center" vertical="center" wrapText="1"/>
    </xf>
    <xf numFmtId="0" fontId="2" fillId="9" borderId="112" xfId="0" applyFont="1" applyFill="1" applyBorder="1" applyAlignment="1">
      <alignment horizontal="center" vertical="center" wrapText="1"/>
    </xf>
    <xf numFmtId="0" fontId="2" fillId="9" borderId="113" xfId="0" applyFont="1" applyFill="1" applyBorder="1" applyAlignment="1">
      <alignment horizontal="center" vertical="center" wrapText="1"/>
    </xf>
    <xf numFmtId="0" fontId="1" fillId="12" borderId="19" xfId="0" applyFont="1" applyFill="1" applyBorder="1"/>
    <xf numFmtId="171" fontId="1" fillId="0" borderId="19" xfId="0" applyNumberFormat="1" applyFont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3" fontId="1" fillId="0" borderId="13" xfId="0" applyNumberFormat="1" applyFont="1" applyBorder="1" applyAlignment="1">
      <alignment horizontal="center"/>
    </xf>
    <xf numFmtId="8" fontId="3" fillId="0" borderId="13" xfId="0" applyNumberFormat="1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0" fontId="5" fillId="0" borderId="19" xfId="0" applyFont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0" fontId="7" fillId="0" borderId="18" xfId="0" applyFont="1" applyBorder="1"/>
    <xf numFmtId="3" fontId="2" fillId="9" borderId="13" xfId="0" applyNumberFormat="1" applyFont="1" applyFill="1" applyBorder="1" applyAlignment="1">
      <alignment horizontal="center"/>
    </xf>
    <xf numFmtId="8" fontId="4" fillId="9" borderId="13" xfId="0" applyNumberFormat="1" applyFont="1" applyFill="1" applyBorder="1" applyAlignment="1">
      <alignment horizontal="center"/>
    </xf>
    <xf numFmtId="3" fontId="1" fillId="0" borderId="66" xfId="0" applyNumberFormat="1" applyFont="1" applyBorder="1" applyAlignment="1">
      <alignment horizontal="center"/>
    </xf>
    <xf numFmtId="0" fontId="7" fillId="0" borderId="66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1" fillId="0" borderId="25" xfId="0" applyNumberFormat="1" applyFont="1" applyBorder="1" applyAlignment="1">
      <alignment horizontal="center"/>
    </xf>
    <xf numFmtId="3" fontId="1" fillId="0" borderId="32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0" fontId="15" fillId="2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9">
    <dxf>
      <font>
        <color rgb="FF006100"/>
      </font>
      <fill>
        <patternFill>
          <bgColor rgb="FFC6EFCE"/>
        </patternFill>
      </fill>
    </dxf>
    <dxf>
      <fill>
        <patternFill patternType="solid">
          <bgColor theme="0" tint="-0.149998474074526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7"/>
  <sheetViews>
    <sheetView showGridLines="0" tabSelected="1" topLeftCell="A13" zoomScaleNormal="100" workbookViewId="0">
      <selection activeCell="C22" sqref="C22:F22"/>
    </sheetView>
  </sheetViews>
  <sheetFormatPr defaultColWidth="12.453125" defaultRowHeight="15" customHeight="1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>
      <c r="A2" s="10"/>
      <c r="B2" s="11" t="s">
        <v>0</v>
      </c>
      <c r="C2" s="284" t="str">
        <f>C3&amp;" : "&amp;C4</f>
        <v>1382.HK : PACIFICTEXTILES</v>
      </c>
      <c r="D2" s="12"/>
      <c r="E2" s="12"/>
      <c r="F2" s="12"/>
      <c r="G2" s="12"/>
      <c r="H2" s="12"/>
      <c r="I2" s="12"/>
      <c r="J2" s="12"/>
    </row>
    <row r="3" spans="1:12" ht="15.75" customHeight="1">
      <c r="B3" s="16" t="s">
        <v>1</v>
      </c>
      <c r="C3" s="385" t="s">
        <v>331</v>
      </c>
      <c r="D3" s="386"/>
      <c r="E3" s="15"/>
      <c r="G3" s="7" t="s">
        <v>2</v>
      </c>
      <c r="I3" s="397" t="s">
        <v>3</v>
      </c>
      <c r="J3" s="398"/>
    </row>
    <row r="4" spans="1:12" ht="15.75" customHeight="1">
      <c r="B4" s="5" t="s">
        <v>4</v>
      </c>
      <c r="C4" s="387" t="s">
        <v>332</v>
      </c>
      <c r="D4" s="388"/>
      <c r="E4" s="6"/>
      <c r="G4" s="5" t="s">
        <v>5</v>
      </c>
      <c r="I4" s="32">
        <v>1.95</v>
      </c>
      <c r="J4" s="33" t="s">
        <v>6</v>
      </c>
      <c r="K4" s="149"/>
    </row>
    <row r="5" spans="1:12" ht="15.75" customHeight="1">
      <c r="B5" s="5" t="s">
        <v>7</v>
      </c>
      <c r="C5" s="389">
        <v>45131</v>
      </c>
      <c r="D5" s="388"/>
      <c r="E5" s="120" t="str">
        <f ca="1">IF(C5+30&gt;=TODAY(),"Patience Premium","")</f>
        <v>Patience Premium</v>
      </c>
      <c r="G5" s="5" t="s">
        <v>8</v>
      </c>
      <c r="I5" s="399">
        <v>1404509952</v>
      </c>
      <c r="J5" s="400"/>
      <c r="K5" s="148"/>
      <c r="L5" s="84"/>
    </row>
    <row r="6" spans="1:12" ht="15.75" customHeight="1">
      <c r="B6" s="12" t="s">
        <v>240</v>
      </c>
      <c r="C6" s="253">
        <v>8</v>
      </c>
      <c r="D6" s="254">
        <f>EOMONTH(EDATE(Asset_Model!D9,C6),0)</f>
        <v>45260</v>
      </c>
      <c r="E6" s="322">
        <f>IF(Asset_Model!E9="FY",Asset_Model!D9,Data!C3)</f>
        <v>45016</v>
      </c>
      <c r="G6" s="131" t="s">
        <v>9</v>
      </c>
      <c r="H6" s="130"/>
      <c r="I6" s="401">
        <f>I4*I5/1000000</f>
        <v>2738.7944064000003</v>
      </c>
      <c r="J6" s="402"/>
      <c r="K6" s="148"/>
    </row>
    <row r="7" spans="1:12" ht="15.75" customHeight="1">
      <c r="B7" s="136" t="s">
        <v>10</v>
      </c>
      <c r="C7" s="142">
        <f>(Data!C39*Exchange_Rate)/I4</f>
        <v>0</v>
      </c>
      <c r="D7" s="142">
        <f>(Data!C40*Exchange_Rate)/I4</f>
        <v>0</v>
      </c>
      <c r="E7" s="150"/>
      <c r="F7" s="6"/>
    </row>
    <row r="8" spans="1:12" ht="15.75" customHeight="1">
      <c r="C8" s="94"/>
      <c r="E8" s="6"/>
      <c r="G8" s="21" t="s">
        <v>11</v>
      </c>
      <c r="H8" s="129"/>
      <c r="I8" s="6"/>
      <c r="J8" s="6"/>
    </row>
    <row r="9" spans="1:12" ht="15.75" customHeight="1">
      <c r="B9" s="21" t="s">
        <v>12</v>
      </c>
      <c r="C9" s="280"/>
      <c r="D9" s="278"/>
      <c r="E9" s="5"/>
      <c r="G9" s="5" t="s">
        <v>13</v>
      </c>
      <c r="I9" s="119">
        <f>IF(Data!F3&lt;=0,"NNI",I4/((Data!F3*I12)/(I5/Data!C4)))</f>
        <v>10.19761705017649</v>
      </c>
      <c r="J9" s="48">
        <f>IF(I9="NNI","NNI",1/I9)</f>
        <v>9.8062125208231182E-2</v>
      </c>
    </row>
    <row r="10" spans="1:12" ht="15.75" customHeight="1">
      <c r="B10" s="3" t="s">
        <v>255</v>
      </c>
      <c r="C10" s="279" t="s">
        <v>322</v>
      </c>
      <c r="D10" s="279">
        <v>2.8999999999999998E-2</v>
      </c>
      <c r="E10" s="5"/>
      <c r="G10" s="5" t="s">
        <v>14</v>
      </c>
      <c r="I10" s="135">
        <f>I4/(Data!C28*I12*Data!C4/Common_Shares)</f>
        <v>0.88674959581710289</v>
      </c>
      <c r="J10" s="127">
        <f>IF(Asset_Model!D60/'FCFF Model'!C4&lt;0,"Negative EV",Asset_Model!D60/'FCFF Model'!C4)</f>
        <v>11.9544696225884</v>
      </c>
    </row>
    <row r="11" spans="1:12" ht="15.75" customHeight="1" thickBot="1">
      <c r="B11" s="288" t="s">
        <v>256</v>
      </c>
      <c r="C11" s="416">
        <f ca="1">C12-D10</f>
        <v>6.7000000000000004E-2</v>
      </c>
      <c r="D11" s="417"/>
      <c r="E11" s="13"/>
      <c r="G11" s="5" t="s">
        <v>15</v>
      </c>
      <c r="H11" s="6"/>
      <c r="I11" s="414" t="s">
        <v>6</v>
      </c>
      <c r="J11" s="415"/>
    </row>
    <row r="12" spans="1:12" ht="15.75" customHeight="1" thickTop="1">
      <c r="B12" s="289" t="s">
        <v>143</v>
      </c>
      <c r="C12" s="412">
        <f ca="1">IF(C10="CN",8%,6%)*IF($C$5+30&gt;=TODAY(),1.2,1)</f>
        <v>9.6000000000000002E-2</v>
      </c>
      <c r="D12" s="413"/>
      <c r="G12" s="131" t="s">
        <v>16</v>
      </c>
      <c r="H12" s="130"/>
      <c r="I12" s="132">
        <v>1</v>
      </c>
      <c r="J12" s="133" t="str">
        <f>IF(I11=Dashboard!J4,J4,I11&amp;"/"&amp;Dashboard!J4)</f>
        <v>HKD</v>
      </c>
    </row>
    <row r="13" spans="1:12" ht="15.75" customHeight="1"/>
    <row r="14" spans="1:12" ht="15.75" customHeight="1">
      <c r="A14" s="10"/>
      <c r="B14" s="20" t="s">
        <v>17</v>
      </c>
      <c r="C14" s="349" t="s">
        <v>311</v>
      </c>
      <c r="D14" s="239"/>
      <c r="E14" s="190">
        <f ca="1">'FCFF Model'!C27</f>
        <v>0.8509239883824179</v>
      </c>
      <c r="F14" s="181"/>
      <c r="G14" s="182"/>
      <c r="H14" s="130"/>
      <c r="I14" s="130"/>
      <c r="J14" s="130"/>
    </row>
    <row r="15" spans="1:12" ht="15.75" customHeight="1">
      <c r="A15" s="6"/>
      <c r="B15" s="225" t="str">
        <f>"(in "&amp;J4&amp;")"</f>
        <v>(in HKD)</v>
      </c>
      <c r="C15" s="226" t="s">
        <v>234</v>
      </c>
      <c r="D15" s="88" t="s">
        <v>19</v>
      </c>
      <c r="E15" s="136"/>
      <c r="F15" s="60" t="s">
        <v>22</v>
      </c>
      <c r="H15" s="353" t="s">
        <v>21</v>
      </c>
      <c r="I15" s="88" t="s">
        <v>310</v>
      </c>
      <c r="J15" s="88" t="s">
        <v>20</v>
      </c>
    </row>
    <row r="16" spans="1:12" ht="15.75" customHeight="1">
      <c r="B16" s="128">
        <f>I4</f>
        <v>1.95</v>
      </c>
      <c r="C16" s="433">
        <v>0.25</v>
      </c>
      <c r="D16" s="156">
        <f ca="1">I37/B16-(1+J27)</f>
        <v>-0.58132452950818314</v>
      </c>
      <c r="E16" s="406" t="s">
        <v>23</v>
      </c>
      <c r="F16" s="403">
        <f>('FCFF Model'!G16)*Exchange_Rate</f>
        <v>3.0714200307781023E-2</v>
      </c>
      <c r="G16" s="406" t="s">
        <v>24</v>
      </c>
      <c r="H16" s="354">
        <f>B16-$F$16</f>
        <v>1.919285799692219</v>
      </c>
      <c r="I16" s="424">
        <v>2.5100000000000001E-2</v>
      </c>
      <c r="J16" s="158">
        <f>I16/B16</f>
        <v>1.2871794871794873E-2</v>
      </c>
    </row>
    <row r="17" spans="1:10" ht="15.75" customHeight="1">
      <c r="B17" s="269">
        <f ca="1">(I37+I38)/2</f>
        <v>0.94357817908248853</v>
      </c>
      <c r="C17" s="434"/>
      <c r="D17" s="268">
        <f ca="1">I37/B17-(1+J27)</f>
        <v>7.8555602708121341E-2</v>
      </c>
      <c r="E17" s="407"/>
      <c r="F17" s="404"/>
      <c r="G17" s="407"/>
      <c r="H17" s="355">
        <f ca="1">B17-$F$16</f>
        <v>0.91286397877470749</v>
      </c>
      <c r="I17" s="425"/>
      <c r="J17" s="159">
        <f ca="1">I16/B17</f>
        <v>2.6600869494890825E-2</v>
      </c>
    </row>
    <row r="18" spans="1:10" ht="15.75" customHeight="1">
      <c r="B18" s="323">
        <f>C37</f>
        <v>0.94</v>
      </c>
      <c r="C18" s="435"/>
      <c r="D18" s="157">
        <f ca="1">I37/B18-(1+J27)</f>
        <v>8.3422518573449844E-2</v>
      </c>
      <c r="E18" s="408"/>
      <c r="F18" s="405"/>
      <c r="G18" s="408"/>
      <c r="H18" s="356">
        <f>B18-$F$16</f>
        <v>0.9092857996922189</v>
      </c>
      <c r="I18" s="426"/>
      <c r="J18" s="160">
        <f>I16/B18</f>
        <v>2.6702127659574471E-2</v>
      </c>
    </row>
    <row r="19" spans="1:10" ht="15.75" customHeight="1">
      <c r="E19" s="6"/>
      <c r="H19" s="6"/>
    </row>
    <row r="20" spans="1:10" ht="15.75" customHeight="1">
      <c r="A20" s="4"/>
      <c r="B20" s="20" t="s">
        <v>25</v>
      </c>
      <c r="C20" s="5" t="s">
        <v>238</v>
      </c>
      <c r="D20" s="270" t="s">
        <v>345</v>
      </c>
      <c r="E20" s="250" t="s">
        <v>247</v>
      </c>
      <c r="G20" s="6"/>
      <c r="H20" s="6"/>
      <c r="I20" s="325"/>
    </row>
    <row r="21" spans="1:10" ht="15.75" customHeight="1">
      <c r="A21" s="6"/>
      <c r="B21" s="24" t="s">
        <v>26</v>
      </c>
      <c r="C21" s="392" t="s">
        <v>342</v>
      </c>
      <c r="D21" s="393"/>
      <c r="E21" s="393"/>
      <c r="F21" s="393"/>
      <c r="G21" s="393"/>
      <c r="H21" s="393"/>
      <c r="I21" s="393"/>
      <c r="J21" s="394"/>
    </row>
    <row r="22" spans="1:10" ht="52.5" customHeight="1">
      <c r="A22" s="6"/>
      <c r="B22" s="24" t="s">
        <v>27</v>
      </c>
      <c r="C22" s="410" t="s">
        <v>344</v>
      </c>
      <c r="D22" s="411"/>
      <c r="E22" s="411"/>
      <c r="F22" s="411"/>
      <c r="G22" s="410" t="s">
        <v>347</v>
      </c>
      <c r="H22" s="410"/>
      <c r="I22" s="411"/>
      <c r="J22" s="411"/>
    </row>
    <row r="23" spans="1:10" ht="52.5" customHeight="1">
      <c r="A23" s="6"/>
      <c r="B23" s="25" t="s">
        <v>28</v>
      </c>
      <c r="C23" s="395" t="s">
        <v>346</v>
      </c>
      <c r="D23" s="396"/>
      <c r="E23" s="396"/>
      <c r="F23" s="396"/>
      <c r="G23" s="395" t="s">
        <v>343</v>
      </c>
      <c r="H23" s="395"/>
      <c r="I23" s="396"/>
      <c r="J23" s="396"/>
    </row>
    <row r="24" spans="1:10" ht="52.5" customHeight="1">
      <c r="A24" s="6"/>
      <c r="B24" s="24" t="s">
        <v>349</v>
      </c>
      <c r="C24" s="436"/>
      <c r="D24" s="437"/>
      <c r="E24" s="437"/>
      <c r="F24" s="437"/>
      <c r="G24" s="437"/>
      <c r="H24" s="437"/>
      <c r="I24" s="437"/>
      <c r="J24" s="438"/>
    </row>
    <row r="25" spans="1:10" ht="52.5" customHeight="1">
      <c r="A25" s="6"/>
      <c r="B25" s="362" t="s">
        <v>350</v>
      </c>
      <c r="C25" s="371"/>
      <c r="D25" s="372"/>
      <c r="E25" s="372"/>
      <c r="F25" s="372"/>
      <c r="G25" s="372"/>
      <c r="H25" s="372"/>
      <c r="I25" s="372"/>
      <c r="J25" s="373"/>
    </row>
    <row r="26" spans="1:10" ht="15.75" customHeight="1">
      <c r="B26" s="6"/>
      <c r="C26" s="6"/>
      <c r="D26" s="6"/>
      <c r="E26" s="6"/>
      <c r="F26" s="9"/>
      <c r="G26" s="6"/>
      <c r="H26" s="6"/>
      <c r="I26" s="6"/>
      <c r="J26" s="6"/>
    </row>
    <row r="27" spans="1:10" ht="15.75" customHeight="1">
      <c r="A27" s="4"/>
      <c r="B27" s="20" t="s">
        <v>29</v>
      </c>
      <c r="C27" s="22" t="s">
        <v>30</v>
      </c>
      <c r="D27" s="34">
        <v>660000</v>
      </c>
      <c r="E27" s="12"/>
      <c r="F27" s="8"/>
      <c r="G27" s="12"/>
      <c r="H27" s="359" t="s">
        <v>326</v>
      </c>
      <c r="I27" s="30"/>
      <c r="J27" s="358">
        <v>0.2</v>
      </c>
    </row>
    <row r="28" spans="1:10" ht="15.75" customHeight="1">
      <c r="B28" s="23" t="s">
        <v>31</v>
      </c>
      <c r="C28" s="390"/>
      <c r="D28" s="391"/>
      <c r="E28" s="430" t="str">
        <f>IF(C28="","","Action_Planning")</f>
        <v/>
      </c>
      <c r="F28" s="431"/>
      <c r="G28" s="431"/>
      <c r="H28" s="432"/>
      <c r="I28" s="409" t="s">
        <v>32</v>
      </c>
      <c r="J28" s="409"/>
    </row>
    <row r="29" spans="1:10" ht="15.75" customHeight="1">
      <c r="B29" s="23" t="s">
        <v>33</v>
      </c>
      <c r="C29" s="423">
        <f>C33/D27</f>
        <v>0.25636363636363635</v>
      </c>
      <c r="D29" s="422"/>
      <c r="E29" s="421">
        <f>E33/D27</f>
        <v>0.13636363636363635</v>
      </c>
      <c r="F29" s="422"/>
      <c r="G29" s="428">
        <f>G33/D27</f>
        <v>0</v>
      </c>
      <c r="H29" s="429"/>
      <c r="I29" s="427">
        <f>C29+E29+G29</f>
        <v>0.3927272727272727</v>
      </c>
      <c r="J29" s="427"/>
    </row>
    <row r="30" spans="1:10" ht="15.75" customHeight="1">
      <c r="B30" s="23" t="s">
        <v>34</v>
      </c>
      <c r="C30" s="452">
        <v>180000</v>
      </c>
      <c r="D30" s="411"/>
      <c r="E30" s="452">
        <v>100000</v>
      </c>
      <c r="F30" s="411"/>
      <c r="G30" s="399"/>
      <c r="H30" s="400"/>
      <c r="I30" s="442">
        <f>C30+E30+G30</f>
        <v>280000</v>
      </c>
      <c r="J30" s="442"/>
    </row>
    <row r="31" spans="1:10" ht="15.75" customHeight="1">
      <c r="B31" s="23" t="s">
        <v>35</v>
      </c>
      <c r="C31" s="453">
        <v>0.94</v>
      </c>
      <c r="D31" s="411"/>
      <c r="E31" s="453">
        <v>0.9</v>
      </c>
      <c r="F31" s="411"/>
      <c r="G31" s="419"/>
      <c r="H31" s="420"/>
      <c r="I31" s="418"/>
      <c r="J31" s="418"/>
    </row>
    <row r="32" spans="1:10" ht="15.75" customHeight="1">
      <c r="B32" s="23" t="s">
        <v>36</v>
      </c>
      <c r="C32" s="440">
        <f>C31*$I$5/1000000</f>
        <v>1320.2393548799998</v>
      </c>
      <c r="D32" s="448"/>
      <c r="E32" s="440">
        <f>E31*$I$5/1000000</f>
        <v>1264.0589568</v>
      </c>
      <c r="F32" s="448"/>
      <c r="G32" s="381">
        <f>G31*$I$5/1000000</f>
        <v>0</v>
      </c>
      <c r="H32" s="382"/>
      <c r="I32" s="439"/>
      <c r="J32" s="439"/>
    </row>
    <row r="33" spans="2:11" ht="15.75" customHeight="1">
      <c r="B33" s="2" t="s">
        <v>37</v>
      </c>
      <c r="C33" s="449">
        <f>C30*C31</f>
        <v>169200</v>
      </c>
      <c r="D33" s="450"/>
      <c r="E33" s="441">
        <f>E30*E31</f>
        <v>90000</v>
      </c>
      <c r="F33" s="451"/>
      <c r="G33" s="383">
        <f>G30*G31</f>
        <v>0</v>
      </c>
      <c r="H33" s="384"/>
      <c r="I33" s="441">
        <f>C33+E33+G33</f>
        <v>259200</v>
      </c>
      <c r="J33" s="441"/>
    </row>
    <row r="34" spans="2:11" ht="15.75" customHeight="1">
      <c r="B34" s="1" t="s">
        <v>38</v>
      </c>
      <c r="C34" s="444"/>
      <c r="D34" s="445"/>
      <c r="E34" s="443">
        <f>IF(C33=0,"-",(C33+E33)/(C30+E30))</f>
        <v>0.92571428571428571</v>
      </c>
      <c r="F34" s="422"/>
      <c r="G34" s="115"/>
      <c r="H34" s="115"/>
      <c r="I34" s="443">
        <f>IF(I33=0,"",I33/I30)</f>
        <v>0.92571428571428571</v>
      </c>
      <c r="J34" s="443"/>
    </row>
    <row r="35" spans="2:11" ht="15.75" customHeight="1">
      <c r="B35" s="1" t="s">
        <v>39</v>
      </c>
      <c r="C35" s="446"/>
      <c r="D35" s="447"/>
      <c r="E35" s="440">
        <f>IF(E34="-","-",E34*$I$5/1000000)</f>
        <v>1300.1749269942859</v>
      </c>
      <c r="F35" s="448"/>
      <c r="G35" s="116"/>
      <c r="H35" s="116"/>
      <c r="I35" s="440">
        <f>IF(I34="","",I34*$I$5/1000000)</f>
        <v>1300.1749269942859</v>
      </c>
      <c r="J35" s="440"/>
    </row>
    <row r="36" spans="2:11" ht="15.75" customHeight="1"/>
    <row r="37" spans="2:11" ht="15.75" customHeight="1">
      <c r="B37" s="143" t="s">
        <v>286</v>
      </c>
      <c r="C37" s="377">
        <f>IF(C28="",C31,E31)</f>
        <v>0.94</v>
      </c>
      <c r="D37" s="378"/>
      <c r="G37" s="379" t="s">
        <v>315</v>
      </c>
      <c r="H37" s="380"/>
      <c r="I37" s="375">
        <f ca="1">'FCFF Model'!C31</f>
        <v>1.2064171674590427</v>
      </c>
      <c r="J37" s="376"/>
    </row>
    <row r="38" spans="2:11" ht="15.75" customHeight="1">
      <c r="B38" s="143" t="s">
        <v>316</v>
      </c>
      <c r="C38" s="377">
        <f>IF(C28="",C31,E34)</f>
        <v>0.94</v>
      </c>
      <c r="D38" s="378"/>
      <c r="G38" s="374" t="s">
        <v>313</v>
      </c>
      <c r="H38" s="374"/>
      <c r="I38" s="375">
        <f ca="1">'FCFF Model'!C32</f>
        <v>0.68073919070593436</v>
      </c>
      <c r="J38" s="376"/>
    </row>
    <row r="39" spans="2:11" ht="15.75" customHeight="1"/>
    <row r="40" spans="2:11" ht="15.75" customHeight="1">
      <c r="B40" s="21" t="s">
        <v>296</v>
      </c>
      <c r="G40" s="319" t="s">
        <v>134</v>
      </c>
      <c r="H40" s="130"/>
      <c r="I40" s="130"/>
      <c r="J40" s="130"/>
      <c r="K40" s="324"/>
    </row>
    <row r="41" spans="2:11" ht="15.75" customHeight="1">
      <c r="B41" s="3" t="s">
        <v>298</v>
      </c>
      <c r="F41" s="208">
        <f>'Qualitative Analysis'!E8</f>
        <v>0.45</v>
      </c>
      <c r="G41" s="331"/>
      <c r="H41" s="114"/>
      <c r="I41" s="114"/>
      <c r="J41" s="114"/>
    </row>
    <row r="42" spans="2:11" ht="15.75" customHeight="1">
      <c r="B42" s="3" t="s">
        <v>297</v>
      </c>
      <c r="F42" s="208">
        <f>80%-(5%*IF(LEFT(D20,2)="St",2,IF(LEFT(D20,2)="Sl",3,IF(LEFT(D20,2)="Cy",4,IF(LEFT(D20,2)="Tu",5,IF(LEFT(D20,2)="Fa",6,0))))))</f>
        <v>0.65</v>
      </c>
      <c r="G42" s="73"/>
      <c r="H42" s="73"/>
      <c r="I42" s="73"/>
      <c r="J42" s="73"/>
    </row>
    <row r="43" spans="2:11" ht="15.75" customHeight="1">
      <c r="B43" s="3" t="s">
        <v>303</v>
      </c>
      <c r="F43" s="329">
        <f>'Qualitative Analysis'!E64</f>
        <v>0.45630102040816323</v>
      </c>
      <c r="G43" s="331"/>
      <c r="H43" s="114"/>
      <c r="I43" s="114"/>
      <c r="J43" s="114"/>
    </row>
    <row r="44" spans="2:11" ht="15.75" customHeight="1">
      <c r="B44" s="3" t="s">
        <v>320</v>
      </c>
      <c r="F44" s="332">
        <v>0.5</v>
      </c>
      <c r="G44" s="73"/>
      <c r="H44" s="73"/>
      <c r="I44" s="73"/>
      <c r="J44" s="73"/>
    </row>
    <row r="45" spans="2:11" ht="15.75" customHeight="1">
      <c r="G45" s="114"/>
      <c r="H45" s="114"/>
      <c r="I45" s="114"/>
      <c r="J45" s="114"/>
    </row>
    <row r="46" spans="2:11" ht="15.75" customHeight="1">
      <c r="E46" s="258" t="s">
        <v>317</v>
      </c>
      <c r="F46" s="258" t="s">
        <v>318</v>
      </c>
    </row>
    <row r="47" spans="2:11" ht="15.75" customHeight="1">
      <c r="B47" s="3" t="s">
        <v>299</v>
      </c>
      <c r="E47" s="329">
        <f ca="1">I37/C31-1</f>
        <v>0.2834225185734498</v>
      </c>
      <c r="F47" s="332">
        <f ca="1">I37/C38-1</f>
        <v>0.2834225185734498</v>
      </c>
    </row>
    <row r="48" spans="2:11" ht="15.75" customHeight="1">
      <c r="B48" s="3" t="s">
        <v>300</v>
      </c>
      <c r="E48" s="329">
        <f ca="1">I38/C31-1</f>
        <v>-0.27580937158943153</v>
      </c>
      <c r="F48" s="332">
        <f ca="1">I38/C38-1</f>
        <v>-0.27580937158943153</v>
      </c>
    </row>
    <row r="49" spans="2:9" ht="15.75" customHeight="1"/>
    <row r="50" spans="2:9" ht="15.75" customHeight="1">
      <c r="B50" s="3" t="s">
        <v>302</v>
      </c>
      <c r="E50" s="352">
        <f ca="1">IF(E47&lt;=0,0,AVERAGE(F41:F43,1-F44,E47/J27))</f>
        <v>0.69468272265508246</v>
      </c>
      <c r="F50" s="329">
        <f ca="1">IF(F47&lt;=0,0,AVERAGE(F41:F43,1-F44,F47/J27))</f>
        <v>0.69468272265508246</v>
      </c>
      <c r="G50" s="73"/>
    </row>
    <row r="51" spans="2:9" ht="15.75" customHeight="1">
      <c r="B51" s="3" t="s">
        <v>301</v>
      </c>
      <c r="D51" s="326"/>
      <c r="E51" s="328">
        <f ca="1">IF(E48&gt;=0,100,E47/ABS(E48))</f>
        <v>1.0276029307493988</v>
      </c>
      <c r="F51" s="328">
        <f ca="1">IF(F48&gt;=0,100,F47/ABS(F48))</f>
        <v>1.0276029307493988</v>
      </c>
      <c r="G51" s="73"/>
    </row>
    <row r="52" spans="2:9" ht="15.75" customHeight="1">
      <c r="B52" s="3" t="s">
        <v>325</v>
      </c>
      <c r="E52" s="357">
        <f ca="1">MAX(J27*2/E47,1)</f>
        <v>1.4113204625141273</v>
      </c>
      <c r="F52" s="357">
        <f ca="1">MAX(J27*2/F47,1)</f>
        <v>1.4113204625141273</v>
      </c>
      <c r="G52" s="330"/>
      <c r="H52" s="84"/>
      <c r="I52" s="84"/>
    </row>
    <row r="53" spans="2:9" ht="15.75" customHeight="1">
      <c r="B53" s="3" t="s">
        <v>324</v>
      </c>
      <c r="E53" s="327">
        <f ca="1">MIN(MAX(E50-ABS((1-E50)/E51),0)/E52,H53)</f>
        <v>0.28169840116116723</v>
      </c>
      <c r="F53" s="327">
        <f ca="1">MIN(MAX(F50-ABS((1-F50)/F51),0)/F52,H53)</f>
        <v>0.28169840116116723</v>
      </c>
      <c r="G53" s="330" t="s">
        <v>304</v>
      </c>
      <c r="H53" s="77">
        <v>0.4</v>
      </c>
    </row>
    <row r="54" spans="2:9" ht="15.75" customHeight="1"/>
    <row r="55" spans="2:9" ht="15.75" customHeight="1">
      <c r="B55" s="21" t="s">
        <v>307</v>
      </c>
    </row>
    <row r="56" spans="2:9" ht="15.75" customHeight="1">
      <c r="B56" s="360" t="s">
        <v>308</v>
      </c>
    </row>
    <row r="57" spans="2:9" ht="15.75" customHeight="1">
      <c r="B57" s="3" t="s">
        <v>327</v>
      </c>
    </row>
    <row r="58" spans="2:9" ht="15.75" customHeight="1">
      <c r="B58" s="3" t="s">
        <v>328</v>
      </c>
    </row>
    <row r="59" spans="2:9" ht="15.75" customHeight="1"/>
    <row r="60" spans="2:9" ht="15.75" customHeight="1">
      <c r="B60" s="360" t="s">
        <v>309</v>
      </c>
    </row>
    <row r="61" spans="2:9" ht="15.75" customHeight="1">
      <c r="B61" s="3" t="s">
        <v>329</v>
      </c>
    </row>
    <row r="62" spans="2:9" ht="15.75" customHeight="1">
      <c r="B62" s="3" t="s">
        <v>330</v>
      </c>
    </row>
    <row r="63" spans="2:9" ht="15.75" customHeight="1"/>
    <row r="64" spans="2:9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</sheetData>
  <mergeCells count="56">
    <mergeCell ref="C33:D33"/>
    <mergeCell ref="E33:F33"/>
    <mergeCell ref="E34:F34"/>
    <mergeCell ref="C32:D32"/>
    <mergeCell ref="C30:D30"/>
    <mergeCell ref="E31:F31"/>
    <mergeCell ref="E32:F32"/>
    <mergeCell ref="E30:F30"/>
    <mergeCell ref="C31:D31"/>
    <mergeCell ref="C11:D11"/>
    <mergeCell ref="G30:H30"/>
    <mergeCell ref="I31:J31"/>
    <mergeCell ref="G31:H31"/>
    <mergeCell ref="E29:F29"/>
    <mergeCell ref="C29:D29"/>
    <mergeCell ref="I16:I18"/>
    <mergeCell ref="G23:J23"/>
    <mergeCell ref="E16:E18"/>
    <mergeCell ref="I29:J29"/>
    <mergeCell ref="G29:H29"/>
    <mergeCell ref="E28:H28"/>
    <mergeCell ref="C16:C18"/>
    <mergeCell ref="C24:J24"/>
    <mergeCell ref="I30:J30"/>
    <mergeCell ref="C3:D3"/>
    <mergeCell ref="C4:D4"/>
    <mergeCell ref="C5:D5"/>
    <mergeCell ref="C28:D28"/>
    <mergeCell ref="C21:J21"/>
    <mergeCell ref="C23:F23"/>
    <mergeCell ref="I3:J3"/>
    <mergeCell ref="I5:J5"/>
    <mergeCell ref="I6:J6"/>
    <mergeCell ref="F16:F18"/>
    <mergeCell ref="G16:G18"/>
    <mergeCell ref="I28:J28"/>
    <mergeCell ref="G22:J22"/>
    <mergeCell ref="C12:D12"/>
    <mergeCell ref="I11:J11"/>
    <mergeCell ref="C22:F22"/>
    <mergeCell ref="C25:J25"/>
    <mergeCell ref="G38:H38"/>
    <mergeCell ref="I38:J38"/>
    <mergeCell ref="C38:D38"/>
    <mergeCell ref="C37:D37"/>
    <mergeCell ref="I37:J37"/>
    <mergeCell ref="G37:H37"/>
    <mergeCell ref="G32:H32"/>
    <mergeCell ref="G33:H33"/>
    <mergeCell ref="I32:J32"/>
    <mergeCell ref="I35:J35"/>
    <mergeCell ref="I33:J33"/>
    <mergeCell ref="I34:J34"/>
    <mergeCell ref="C34:D34"/>
    <mergeCell ref="C35:D35"/>
    <mergeCell ref="E35:F35"/>
  </mergeCells>
  <phoneticPr fontId="31" type="noConversion"/>
  <conditionalFormatting sqref="B16">
    <cfRule type="cellIs" dxfId="18" priority="9" operator="lessThan">
      <formula>$B$18</formula>
    </cfRule>
  </conditionalFormatting>
  <conditionalFormatting sqref="C37:D38 I37:J38">
    <cfRule type="containsBlanks" priority="2">
      <formula>LEN(TRIM(C37))=0</formula>
    </cfRule>
  </conditionalFormatting>
  <conditionalFormatting sqref="C28:E28 I28 C30:G31 I30:I31">
    <cfRule type="containsBlanks" priority="26">
      <formula>LEN(TRIM(C28))=0</formula>
    </cfRule>
  </conditionalFormatting>
  <conditionalFormatting sqref="D16 D18">
    <cfRule type="cellIs" dxfId="17" priority="22" operator="lessThan">
      <formula>0</formula>
    </cfRule>
  </conditionalFormatting>
  <conditionalFormatting sqref="E14">
    <cfRule type="cellIs" dxfId="16" priority="14" operator="greaterThan">
      <formula>$B$16</formula>
    </cfRule>
  </conditionalFormatting>
  <conditionalFormatting sqref="E51:F51">
    <cfRule type="cellIs" dxfId="15" priority="5" operator="lessThan">
      <formula>1</formula>
    </cfRule>
  </conditionalFormatting>
  <conditionalFormatting sqref="E52:F52">
    <cfRule type="containsBlanks" priority="1">
      <formula>LEN(TRIM(E52))=0</formula>
    </cfRule>
  </conditionalFormatting>
  <conditionalFormatting sqref="E28:H28">
    <cfRule type="containsBlanks" dxfId="14" priority="10">
      <formula>LEN(TRIM(E28))=0</formula>
    </cfRule>
  </conditionalFormatting>
  <conditionalFormatting sqref="F16">
    <cfRule type="cellIs" dxfId="13" priority="17" operator="greaterThan">
      <formula>$B$16</formula>
    </cfRule>
  </conditionalFormatting>
  <conditionalFormatting sqref="G16">
    <cfRule type="cellIs" dxfId="12" priority="32" operator="lessThan">
      <formula>0</formula>
    </cfRule>
  </conditionalFormatting>
  <conditionalFormatting sqref="K40">
    <cfRule type="containsBlanks" priority="11">
      <formula>LEN(TRIM(K40))=0</formula>
    </cfRule>
  </conditionalFormatting>
  <dataValidations disablePrompts="1" count="4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CN, HK"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7"/>
  <sheetViews>
    <sheetView showGridLines="0" zoomScaleNormal="100" workbookViewId="0">
      <selection activeCell="C52" sqref="C52"/>
    </sheetView>
  </sheetViews>
  <sheetFormatPr defaultColWidth="12.453125" defaultRowHeight="15" customHeight="1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>
      <c r="A1" s="36"/>
      <c r="B1" s="37"/>
      <c r="C1" s="38"/>
      <c r="D1" s="38"/>
      <c r="E1" s="38"/>
      <c r="F1" s="38"/>
    </row>
    <row r="2" spans="1:14" ht="15.75" customHeight="1">
      <c r="A2" s="39"/>
      <c r="B2" s="11" t="s">
        <v>40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>
      <c r="A3" s="9"/>
      <c r="B3" s="5" t="s">
        <v>41</v>
      </c>
      <c r="C3" s="146">
        <v>45016</v>
      </c>
      <c r="D3" s="6"/>
      <c r="E3" s="176">
        <v>1</v>
      </c>
      <c r="F3" s="174">
        <f t="array" ref="F3">AVERAGE(C19:INDEX(C19:M19,1,E3))</f>
        <v>268572</v>
      </c>
      <c r="G3" s="6"/>
      <c r="H3" s="5"/>
      <c r="I3" s="6"/>
      <c r="J3" s="171"/>
      <c r="K3" s="6"/>
      <c r="L3" s="6"/>
      <c r="M3" s="6"/>
    </row>
    <row r="4" spans="1:14" ht="15.75" customHeight="1">
      <c r="A4" s="9"/>
      <c r="B4" s="5" t="s">
        <v>42</v>
      </c>
      <c r="C4" s="35">
        <v>1000</v>
      </c>
      <c r="D4" s="6"/>
      <c r="E4" s="41">
        <f>E3</f>
        <v>1</v>
      </c>
      <c r="F4" s="175">
        <f>AVERAGE(C16:INDEX(C16:M16,1,E4))</f>
        <v>286566</v>
      </c>
      <c r="G4" s="6"/>
      <c r="I4" s="6"/>
      <c r="J4" s="86"/>
      <c r="K4" s="6"/>
    </row>
    <row r="5" spans="1:14" ht="15.75" customHeight="1">
      <c r="A5" s="9"/>
      <c r="C5" s="6"/>
      <c r="F5" s="6"/>
      <c r="J5" s="6"/>
    </row>
    <row r="6" spans="1:14" ht="15.75" customHeight="1">
      <c r="A6" s="9"/>
      <c r="B6" s="42"/>
      <c r="C6" s="262">
        <f>C3</f>
        <v>45016</v>
      </c>
      <c r="D6" s="263">
        <f>EOMONTH(EDATE(C6,-12),0)</f>
        <v>44651</v>
      </c>
      <c r="E6" s="263">
        <f t="shared" ref="E6:M6" si="0">EOMONTH(EDATE(D6,-12),0)</f>
        <v>44286</v>
      </c>
      <c r="F6" s="263">
        <f t="shared" si="0"/>
        <v>43921</v>
      </c>
      <c r="G6" s="263">
        <f t="shared" si="0"/>
        <v>43555</v>
      </c>
      <c r="H6" s="263">
        <f t="shared" si="0"/>
        <v>43190</v>
      </c>
      <c r="I6" s="263">
        <f t="shared" si="0"/>
        <v>42825</v>
      </c>
      <c r="J6" s="263">
        <f t="shared" si="0"/>
        <v>42460</v>
      </c>
      <c r="K6" s="263">
        <f t="shared" si="0"/>
        <v>42094</v>
      </c>
      <c r="L6" s="263">
        <f t="shared" si="0"/>
        <v>41729</v>
      </c>
      <c r="M6" s="263">
        <f t="shared" si="0"/>
        <v>41364</v>
      </c>
    </row>
    <row r="7" spans="1:14" ht="15.75" customHeight="1">
      <c r="A7" s="9"/>
      <c r="B7" s="43" t="s">
        <v>43</v>
      </c>
      <c r="C7" s="35">
        <v>5018735</v>
      </c>
      <c r="D7" s="35">
        <v>6066310</v>
      </c>
      <c r="E7" s="35">
        <v>5384897</v>
      </c>
      <c r="F7" s="35">
        <v>5476196</v>
      </c>
      <c r="G7" s="35"/>
      <c r="H7" s="35"/>
      <c r="I7" s="35"/>
      <c r="J7" s="35"/>
      <c r="K7" s="35"/>
      <c r="L7" s="35"/>
      <c r="M7" s="229"/>
      <c r="N7" s="6"/>
    </row>
    <row r="8" spans="1:14" ht="15.75" customHeight="1">
      <c r="A8" s="9"/>
      <c r="B8" s="44" t="s">
        <v>44</v>
      </c>
      <c r="C8" s="14">
        <f t="shared" ref="C8:L8" si="1">IF(D7="","",C7/D7-1)</f>
        <v>-0.17268735030026494</v>
      </c>
      <c r="D8" s="14">
        <f t="shared" si="1"/>
        <v>0.12654151045043194</v>
      </c>
      <c r="E8" s="14">
        <f t="shared" si="1"/>
        <v>-1.6671974487399654E-2</v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04"/>
      <c r="N8" s="6"/>
    </row>
    <row r="9" spans="1:14" ht="15.75" customHeight="1">
      <c r="A9" s="9"/>
      <c r="B9" s="44" t="s">
        <v>45</v>
      </c>
      <c r="C9" s="35">
        <v>4528748</v>
      </c>
      <c r="D9" s="35">
        <v>5289992</v>
      </c>
      <c r="E9" s="35">
        <v>4523208</v>
      </c>
      <c r="F9" s="35">
        <v>4551618</v>
      </c>
      <c r="G9" s="35"/>
      <c r="H9" s="35"/>
      <c r="I9" s="35"/>
      <c r="J9" s="35"/>
      <c r="K9" s="35"/>
      <c r="L9" s="35"/>
      <c r="M9" s="229"/>
      <c r="N9" s="6"/>
    </row>
    <row r="10" spans="1:14" ht="15.75" customHeight="1">
      <c r="A10" s="9"/>
      <c r="B10" s="44" t="s">
        <v>46</v>
      </c>
      <c r="C10" s="14">
        <f t="shared" ref="C10:M10" si="2">IF(C7="","",(C7-C9)/C7)</f>
        <v>9.7631574490384523E-2</v>
      </c>
      <c r="D10" s="14">
        <f t="shared" si="2"/>
        <v>0.12797202912478919</v>
      </c>
      <c r="E10" s="14">
        <f t="shared" si="2"/>
        <v>0.16001958811839856</v>
      </c>
      <c r="F10" s="14">
        <f t="shared" si="2"/>
        <v>0.16883581230474584</v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04" t="str">
        <f t="shared" si="2"/>
        <v/>
      </c>
      <c r="N10" s="6"/>
    </row>
    <row r="11" spans="1:14" ht="15.75" customHeight="1">
      <c r="A11" s="9"/>
      <c r="B11" s="44" t="s">
        <v>47</v>
      </c>
      <c r="C11" s="35">
        <v>203421</v>
      </c>
      <c r="D11" s="35">
        <v>252070</v>
      </c>
      <c r="E11" s="35">
        <v>260596</v>
      </c>
      <c r="F11" s="35">
        <v>253904</v>
      </c>
      <c r="G11" s="35"/>
      <c r="H11" s="35"/>
      <c r="I11" s="35"/>
      <c r="J11" s="35"/>
      <c r="K11" s="35"/>
      <c r="L11" s="35"/>
      <c r="M11" s="229"/>
      <c r="N11" s="6"/>
    </row>
    <row r="12" spans="1:14" ht="15.75" customHeight="1">
      <c r="A12" s="9"/>
      <c r="B12" s="44" t="s">
        <v>48</v>
      </c>
      <c r="C12" s="14">
        <f t="shared" ref="C12:M12" si="3">IF(C7="","",C10-C13)</f>
        <v>4.0532325376813075E-2</v>
      </c>
      <c r="D12" s="14">
        <f t="shared" si="3"/>
        <v>4.1552442918347393E-2</v>
      </c>
      <c r="E12" s="14">
        <f t="shared" si="3"/>
        <v>4.8393869000651277E-2</v>
      </c>
      <c r="F12" s="14">
        <f t="shared" si="3"/>
        <v>4.6365031492663883E-2</v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04" t="str">
        <f t="shared" si="3"/>
        <v/>
      </c>
      <c r="N12" s="6"/>
    </row>
    <row r="13" spans="1:14" ht="15.75" customHeight="1">
      <c r="A13" s="9"/>
      <c r="B13" s="44" t="s">
        <v>49</v>
      </c>
      <c r="C13" s="14">
        <f t="shared" ref="C13:M13" si="4">IF(C14="","",C14/C7)</f>
        <v>5.7099249113571449E-2</v>
      </c>
      <c r="D13" s="14">
        <f t="shared" si="4"/>
        <v>8.6419586206441801E-2</v>
      </c>
      <c r="E13" s="14">
        <f t="shared" si="4"/>
        <v>0.11162571911774728</v>
      </c>
      <c r="F13" s="14">
        <f t="shared" si="4"/>
        <v>0.12247078081208196</v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04" t="str">
        <f t="shared" si="4"/>
        <v/>
      </c>
      <c r="N13" s="6"/>
    </row>
    <row r="14" spans="1:14" ht="15.75" customHeight="1">
      <c r="A14" s="9"/>
      <c r="B14" s="44" t="s">
        <v>50</v>
      </c>
      <c r="C14" s="27">
        <f t="shared" ref="C14:M14" si="5">IF(C7="","",C7-C9-C11)</f>
        <v>286566</v>
      </c>
      <c r="D14" s="27">
        <f t="shared" si="5"/>
        <v>524248</v>
      </c>
      <c r="E14" s="27">
        <f t="shared" si="5"/>
        <v>601093</v>
      </c>
      <c r="F14" s="27">
        <f t="shared" si="5"/>
        <v>670674</v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30" t="str">
        <f t="shared" si="5"/>
        <v/>
      </c>
      <c r="N14" s="6"/>
    </row>
    <row r="15" spans="1:14" ht="15.75" customHeight="1">
      <c r="A15" s="9"/>
      <c r="B15" s="44" t="s">
        <v>51</v>
      </c>
      <c r="C15" s="14">
        <f>IF(D14="","",IF(ABS(C14+D14)=ABS(C14)+ABS(D14),IF(C14&lt;0,-1,1)*(C14-D14)/D14,"Turn"))</f>
        <v>-0.45337702766629534</v>
      </c>
      <c r="D15" s="14">
        <f t="shared" ref="D15:M15" si="6">IF(E14="","",IF(ABS(D14+E14)=ABS(D14)+ABS(E14),IF(D14&lt;0,-1,1)*(D14-E14)/E14,"Turn"))</f>
        <v>-0.12784211428181663</v>
      </c>
      <c r="E15" s="14">
        <f t="shared" si="6"/>
        <v>-0.10374787154414812</v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04" t="str">
        <f t="shared" si="6"/>
        <v/>
      </c>
      <c r="N15" s="6"/>
    </row>
    <row r="16" spans="1:14" ht="15.75" customHeight="1">
      <c r="A16" s="9"/>
      <c r="B16" s="44" t="s">
        <v>52</v>
      </c>
      <c r="C16" s="140">
        <f>IF(C14="","",C14*(1-Operation!$D$23))</f>
        <v>286566</v>
      </c>
      <c r="D16" s="140">
        <f>IF(D14="","",D14*(1-Operation!$D$23))</f>
        <v>524248</v>
      </c>
      <c r="E16" s="140">
        <f>IF(E14="","",E14*(1-Operation!$D$23))</f>
        <v>601093</v>
      </c>
      <c r="F16" s="140">
        <f>IF(F14="","",F14*(1-Operation!$D$23))</f>
        <v>670674</v>
      </c>
      <c r="G16" s="140" t="str">
        <f>IF(G14="","",G14*(1-Operation!$D$23))</f>
        <v/>
      </c>
      <c r="H16" s="140" t="str">
        <f>IF(H14="","",H14*(1-Operation!$D$23))</f>
        <v/>
      </c>
      <c r="I16" s="140" t="str">
        <f>IF(I14="","",I14*(1-Operation!$D$23))</f>
        <v/>
      </c>
      <c r="J16" s="140" t="str">
        <f>IF(J14="","",J14*(1-Operation!$D$23))</f>
        <v/>
      </c>
      <c r="K16" s="140" t="str">
        <f>IF(K14="","",K14*(1-Operation!$D$23))</f>
        <v/>
      </c>
      <c r="L16" s="140" t="str">
        <f>IF(L14="","",L14*(1-Operation!$D$23))</f>
        <v/>
      </c>
      <c r="M16" s="231" t="str">
        <f>IF(M14="","",M14*(1-Operation!$D$23))</f>
        <v/>
      </c>
      <c r="N16" s="6"/>
    </row>
    <row r="17" spans="1:14" ht="15.75" customHeight="1">
      <c r="A17" s="9"/>
      <c r="B17" s="139" t="s">
        <v>53</v>
      </c>
      <c r="C17" s="126">
        <f t="shared" ref="C17:M17" si="7">IF(C7="","",C16/C7)</f>
        <v>5.7099249113571449E-2</v>
      </c>
      <c r="D17" s="126">
        <f t="shared" si="7"/>
        <v>8.6419586206441801E-2</v>
      </c>
      <c r="E17" s="126">
        <f t="shared" si="7"/>
        <v>0.11162571911774728</v>
      </c>
      <c r="F17" s="126">
        <f t="shared" si="7"/>
        <v>0.12247078081208196</v>
      </c>
      <c r="G17" s="126" t="str">
        <f t="shared" si="7"/>
        <v/>
      </c>
      <c r="H17" s="126" t="str">
        <f t="shared" si="7"/>
        <v/>
      </c>
      <c r="I17" s="126" t="str">
        <f t="shared" si="7"/>
        <v/>
      </c>
      <c r="J17" s="126" t="str">
        <f t="shared" si="7"/>
        <v/>
      </c>
      <c r="K17" s="126" t="str">
        <f t="shared" si="7"/>
        <v/>
      </c>
      <c r="L17" s="126" t="str">
        <f t="shared" si="7"/>
        <v/>
      </c>
      <c r="M17" s="232" t="str">
        <f t="shared" si="7"/>
        <v/>
      </c>
      <c r="N17" s="6"/>
    </row>
    <row r="18" spans="1:14" ht="15.75" customHeight="1">
      <c r="A18" s="9"/>
      <c r="B18" s="44" t="s">
        <v>241</v>
      </c>
      <c r="C18" s="141">
        <v>48524</v>
      </c>
      <c r="D18" s="141">
        <v>14047</v>
      </c>
      <c r="E18" s="141">
        <v>13102</v>
      </c>
      <c r="F18" s="141">
        <v>11435</v>
      </c>
      <c r="G18" s="141"/>
      <c r="H18" s="141"/>
      <c r="I18" s="141"/>
      <c r="J18" s="141"/>
      <c r="K18" s="141"/>
      <c r="L18" s="141"/>
      <c r="M18" s="233"/>
      <c r="N18" s="6"/>
    </row>
    <row r="19" spans="1:14" ht="15.75" customHeight="1">
      <c r="A19" s="9"/>
      <c r="B19" s="44" t="s">
        <v>54</v>
      </c>
      <c r="C19" s="35">
        <v>268572</v>
      </c>
      <c r="D19" s="35">
        <v>572677</v>
      </c>
      <c r="E19" s="35">
        <v>721491</v>
      </c>
      <c r="F19" s="35">
        <v>743489</v>
      </c>
      <c r="G19" s="35"/>
      <c r="H19" s="35"/>
      <c r="I19" s="35"/>
      <c r="J19" s="35"/>
      <c r="K19" s="35"/>
      <c r="L19" s="35"/>
      <c r="M19" s="229"/>
      <c r="N19" s="6"/>
    </row>
    <row r="20" spans="1:14" ht="15.75" customHeight="1">
      <c r="A20" s="9"/>
      <c r="B20" s="44" t="s">
        <v>254</v>
      </c>
      <c r="C20" s="14">
        <f>IF(D19="","",IF(ABS(C19+D19)=ABS(C19)+ABS(D19),IF(C19&lt;0,-1,1)*(C19-D19)/D19,"Turn"))</f>
        <v>-0.53102359619820594</v>
      </c>
      <c r="D20" s="14">
        <f t="shared" ref="D20:M20" si="8">IF(E19="","",IF(ABS(D19+E19)=ABS(D19)+ABS(E19),IF(D19&lt;0,-1,1)*(D19-E19)/E19,"Turn"))</f>
        <v>-0.20625898313353874</v>
      </c>
      <c r="E20" s="14">
        <f t="shared" si="8"/>
        <v>-2.9587525841001012E-2</v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04" t="str">
        <f t="shared" si="8"/>
        <v/>
      </c>
      <c r="N20" s="6"/>
    </row>
    <row r="21" spans="1:14" ht="15.75" customHeight="1">
      <c r="A21" s="9"/>
      <c r="B21" s="44" t="s">
        <v>55</v>
      </c>
      <c r="C21" s="173">
        <v>3233208</v>
      </c>
      <c r="D21" s="35">
        <v>3819804</v>
      </c>
      <c r="E21" s="35">
        <v>3142672</v>
      </c>
      <c r="F21" s="35">
        <v>2900817</v>
      </c>
      <c r="G21" s="35"/>
      <c r="H21" s="35"/>
      <c r="I21" s="35"/>
      <c r="J21" s="35"/>
      <c r="K21" s="35"/>
      <c r="L21" s="35"/>
      <c r="M21" s="229"/>
      <c r="N21" s="6"/>
    </row>
    <row r="22" spans="1:14" ht="15.75" customHeight="1">
      <c r="A22" s="9"/>
      <c r="B22" s="44" t="s">
        <v>56</v>
      </c>
      <c r="C22" s="173">
        <v>2190965</v>
      </c>
      <c r="D22" s="35">
        <v>2261676</v>
      </c>
      <c r="E22" s="35">
        <v>1624654</v>
      </c>
      <c r="F22" s="35">
        <v>1613402</v>
      </c>
      <c r="G22" s="35"/>
      <c r="H22" s="35"/>
      <c r="I22" s="35"/>
      <c r="J22" s="35"/>
      <c r="K22" s="35"/>
      <c r="L22" s="35"/>
      <c r="M22" s="229"/>
      <c r="N22" s="6"/>
    </row>
    <row r="23" spans="1:14" ht="15.5" customHeight="1">
      <c r="A23" s="9"/>
      <c r="B23" s="44" t="s">
        <v>57</v>
      </c>
      <c r="C23" s="173">
        <v>1346085</v>
      </c>
      <c r="D23" s="35">
        <v>1480824</v>
      </c>
      <c r="E23" s="35">
        <v>679479</v>
      </c>
      <c r="F23" s="35">
        <v>737961</v>
      </c>
      <c r="G23" s="35"/>
      <c r="H23" s="35"/>
      <c r="I23" s="35"/>
      <c r="J23" s="35"/>
      <c r="K23" s="35"/>
      <c r="L23" s="35"/>
      <c r="M23" s="229"/>
      <c r="N23" s="6"/>
    </row>
    <row r="24" spans="1:14" ht="15.75" customHeight="1">
      <c r="A24" s="9"/>
      <c r="B24" s="138" t="s">
        <v>58</v>
      </c>
      <c r="C24" s="256">
        <v>25808</v>
      </c>
      <c r="D24" s="137">
        <v>27141</v>
      </c>
      <c r="E24" s="137">
        <v>34036</v>
      </c>
      <c r="F24" s="137">
        <v>771</v>
      </c>
      <c r="G24" s="137"/>
      <c r="H24" s="137"/>
      <c r="I24" s="137"/>
      <c r="J24" s="137"/>
      <c r="K24" s="137"/>
      <c r="L24" s="137"/>
      <c r="M24" s="234"/>
      <c r="N24" s="6"/>
    </row>
    <row r="25" spans="1:14" ht="15.75" customHeight="1">
      <c r="A25" s="9"/>
      <c r="B25" s="44" t="s">
        <v>59</v>
      </c>
      <c r="C25" s="173">
        <v>134078</v>
      </c>
      <c r="D25" s="35">
        <v>134192</v>
      </c>
      <c r="E25" s="35">
        <v>132556</v>
      </c>
      <c r="F25" s="35">
        <v>125422</v>
      </c>
      <c r="G25" s="35"/>
      <c r="H25" s="35"/>
      <c r="I25" s="35"/>
      <c r="J25" s="35"/>
      <c r="K25" s="35"/>
      <c r="L25" s="35"/>
      <c r="M25" s="229"/>
      <c r="N25" s="6"/>
    </row>
    <row r="26" spans="1:14" ht="15.75" customHeight="1">
      <c r="A26" s="9"/>
      <c r="B26" s="138" t="s">
        <v>60</v>
      </c>
      <c r="C26" s="172">
        <v>7502</v>
      </c>
      <c r="D26" s="137">
        <v>7974</v>
      </c>
      <c r="E26" s="137">
        <v>7181</v>
      </c>
      <c r="F26" s="137">
        <v>373</v>
      </c>
      <c r="G26" s="137"/>
      <c r="H26" s="137"/>
      <c r="I26" s="137"/>
      <c r="J26" s="137"/>
      <c r="K26" s="137"/>
      <c r="L26" s="137"/>
      <c r="M26" s="234"/>
      <c r="N26" s="6"/>
    </row>
    <row r="27" spans="1:14" ht="15.75" customHeight="1">
      <c r="A27" s="9"/>
      <c r="B27" s="44" t="s">
        <v>61</v>
      </c>
      <c r="C27" s="27">
        <f t="shared" ref="C27:M27" si="9">IF(C7="","",C23+C25)</f>
        <v>1480163</v>
      </c>
      <c r="D27" s="27">
        <f t="shared" si="9"/>
        <v>1615016</v>
      </c>
      <c r="E27" s="27">
        <f t="shared" si="9"/>
        <v>812035</v>
      </c>
      <c r="F27" s="27">
        <f t="shared" si="9"/>
        <v>863383</v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30" t="str">
        <f t="shared" si="9"/>
        <v/>
      </c>
      <c r="N27" s="6"/>
    </row>
    <row r="28" spans="1:14" ht="15.75" customHeight="1">
      <c r="A28" s="9"/>
      <c r="B28" s="44" t="s">
        <v>62</v>
      </c>
      <c r="C28" s="173">
        <v>3088577</v>
      </c>
      <c r="D28" s="35">
        <v>3430524</v>
      </c>
      <c r="E28" s="35">
        <v>3353625</v>
      </c>
      <c r="F28" s="35">
        <v>2997056</v>
      </c>
      <c r="G28" s="35"/>
      <c r="H28" s="35"/>
      <c r="I28" s="35"/>
      <c r="J28" s="35"/>
      <c r="K28" s="35"/>
      <c r="L28" s="35"/>
      <c r="M28" s="229"/>
      <c r="N28" s="6"/>
    </row>
    <row r="29" spans="1:14" ht="15.75" customHeight="1">
      <c r="A29" s="9"/>
      <c r="B29" s="138" t="s">
        <v>203</v>
      </c>
      <c r="C29" s="172">
        <v>3074864</v>
      </c>
      <c r="D29" s="137">
        <v>3419125</v>
      </c>
      <c r="E29" s="137">
        <v>3337921</v>
      </c>
      <c r="F29" s="137">
        <v>2985924</v>
      </c>
      <c r="G29" s="137"/>
      <c r="H29" s="137"/>
      <c r="I29" s="137"/>
      <c r="J29" s="137"/>
      <c r="K29" s="137"/>
      <c r="L29" s="137"/>
      <c r="M29" s="234"/>
      <c r="N29" s="6"/>
    </row>
    <row r="30" spans="1:14" ht="15.75" customHeight="1">
      <c r="A30" s="9"/>
      <c r="B30" s="44" t="s">
        <v>63</v>
      </c>
      <c r="C30" s="173">
        <v>1723453</v>
      </c>
      <c r="D30" s="35">
        <v>1555854</v>
      </c>
      <c r="E30" s="35">
        <v>1434723</v>
      </c>
      <c r="F30" s="35">
        <v>1413798</v>
      </c>
      <c r="G30" s="35"/>
      <c r="H30" s="35"/>
      <c r="I30" s="35"/>
      <c r="J30" s="35"/>
      <c r="K30" s="35"/>
      <c r="L30" s="35"/>
      <c r="M30" s="229"/>
      <c r="N30" s="6"/>
    </row>
    <row r="31" spans="1:14" ht="15.75" customHeight="1">
      <c r="A31" s="9"/>
      <c r="B31" s="44" t="s">
        <v>221</v>
      </c>
      <c r="C31" s="173">
        <v>0</v>
      </c>
      <c r="D31" s="35">
        <v>1545128</v>
      </c>
      <c r="E31" s="35">
        <v>946152</v>
      </c>
      <c r="F31" s="35">
        <v>767143</v>
      </c>
      <c r="G31" s="35"/>
      <c r="H31" s="35"/>
      <c r="I31" s="35"/>
      <c r="J31" s="35"/>
      <c r="K31" s="35"/>
      <c r="L31" s="35"/>
      <c r="M31" s="229"/>
      <c r="N31" s="6"/>
    </row>
    <row r="32" spans="1:14" ht="15.75" customHeight="1">
      <c r="A32" s="9"/>
      <c r="B32" s="44" t="s">
        <v>64</v>
      </c>
      <c r="C32" s="14">
        <f t="shared" ref="C32:M32" si="10">IF(D7="","",(C30-D30)/C30)</f>
        <v>9.7246051966604255E-2</v>
      </c>
      <c r="D32" s="14">
        <f t="shared" si="10"/>
        <v>7.7854991535195456E-2</v>
      </c>
      <c r="E32" s="14">
        <f t="shared" si="10"/>
        <v>1.4584696836950408E-2</v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04" t="str">
        <f t="shared" si="10"/>
        <v/>
      </c>
      <c r="N32" s="6"/>
    </row>
    <row r="33" spans="1:14" ht="15.75" customHeight="1">
      <c r="A33" s="9"/>
      <c r="B33" s="44" t="s">
        <v>65</v>
      </c>
      <c r="C33" s="236">
        <f>IF(D7="","",(C7-D7)*Asset_Model!$D$65)</f>
        <v>-89672.42</v>
      </c>
      <c r="D33" s="236">
        <f>IF(E7="","",(D7-E7)*Asset_Model!$D$65)</f>
        <v>58328.952799999999</v>
      </c>
      <c r="E33" s="236">
        <f>IF(F7="","",(E7-F7)*Asset_Model!$D$65)</f>
        <v>-7815.1943999999994</v>
      </c>
      <c r="F33" s="236" t="str">
        <f>IF(G7="","",(F7-G7)*Asset_Model!$D$65)</f>
        <v/>
      </c>
      <c r="G33" s="236" t="str">
        <f>IF(H7="","",(G7-H7)*Asset_Model!$D$65)</f>
        <v/>
      </c>
      <c r="H33" s="236" t="str">
        <f>IF(I7="","",(H7-I7)*Asset_Model!$D$65)</f>
        <v/>
      </c>
      <c r="I33" s="236" t="str">
        <f>IF(J7="","",(I7-J7)*Asset_Model!$D$65)</f>
        <v/>
      </c>
      <c r="J33" s="236" t="str">
        <f>IF(K7="","",(J7-K7)*Asset_Model!$D$65)</f>
        <v/>
      </c>
      <c r="K33" s="236" t="str">
        <f>IF(L7="","",(K7-L7)*Asset_Model!$D$65)</f>
        <v/>
      </c>
      <c r="L33" s="236" t="str">
        <f>IF(M7="","",(L7-M7)*Asset_Model!$D$65)</f>
        <v/>
      </c>
      <c r="M33" s="237" t="str">
        <f>IF(N7="","",(M7-N7)*Asset_Model!$D$65)</f>
        <v/>
      </c>
      <c r="N33" s="6"/>
    </row>
    <row r="34" spans="1:14" ht="15.75" customHeight="1">
      <c r="A34" s="9"/>
      <c r="B34" s="44" t="s">
        <v>77</v>
      </c>
      <c r="C34" s="140">
        <f>IF(D7="","",C30-D30+C33+IF($C$55="Yes",C57,0))</f>
        <v>77926.58</v>
      </c>
      <c r="D34" s="140">
        <f>IF(E7="","",D30-E30+D33+IF($C$55="Yes",D57,0))</f>
        <v>179459.9528</v>
      </c>
      <c r="E34" s="140">
        <f t="shared" ref="E34:F34" si="11">IF(F7="","",E30-F30+E33+IF($C$55="Yes",E57,0))</f>
        <v>13109.8056</v>
      </c>
      <c r="F34" s="140" t="str">
        <f t="shared" si="11"/>
        <v/>
      </c>
      <c r="G34" s="140" t="str">
        <f t="shared" ref="G34" si="12">IF(H7="","",G30-H30+G33+IF($C$55="Yes",G57,0))</f>
        <v/>
      </c>
      <c r="H34" s="140" t="str">
        <f t="shared" ref="H34" si="13">IF(I7="","",H30-I30+H33+IF($C$55="Yes",H57,0))</f>
        <v/>
      </c>
      <c r="I34" s="140" t="str">
        <f t="shared" ref="I34" si="14">IF(J7="","",I30-J30+I33+IF($C$55="Yes",I57,0))</f>
        <v/>
      </c>
      <c r="J34" s="140" t="str">
        <f t="shared" ref="J34" si="15">IF(K7="","",J30-K30+J33+IF($C$55="Yes",J57,0))</f>
        <v/>
      </c>
      <c r="K34" s="140" t="str">
        <f t="shared" ref="K34" si="16">IF(L7="","",K30-L30+K33+IF($C$55="Yes",K57,0))</f>
        <v/>
      </c>
      <c r="L34" s="140" t="str">
        <f t="shared" ref="L34" si="17">IF(M7="","",L30-M30+L33+IF($C$55="Yes",L57,0))</f>
        <v/>
      </c>
      <c r="M34" s="318" t="str">
        <f t="shared" ref="M34" si="18">IF(N7="","",M30-N30+M33+IF($C$55="Yes",M57,0))</f>
        <v/>
      </c>
      <c r="N34" s="6"/>
    </row>
    <row r="35" spans="1:14" ht="15.75" customHeight="1">
      <c r="A35" s="9"/>
      <c r="B35" s="235" t="s">
        <v>66</v>
      </c>
      <c r="C35" s="227">
        <f t="shared" ref="C35:M35" si="19">IF(C34="","",C34/C16)</f>
        <v>0.27193239951703974</v>
      </c>
      <c r="D35" s="227">
        <f t="shared" si="19"/>
        <v>0.34231881247043383</v>
      </c>
      <c r="E35" s="227">
        <f t="shared" si="19"/>
        <v>2.1809945549191224E-2</v>
      </c>
      <c r="F35" s="227" t="str">
        <f t="shared" si="19"/>
        <v/>
      </c>
      <c r="G35" s="227" t="str">
        <f t="shared" si="19"/>
        <v/>
      </c>
      <c r="H35" s="227" t="str">
        <f t="shared" si="19"/>
        <v/>
      </c>
      <c r="I35" s="227" t="str">
        <f t="shared" si="19"/>
        <v/>
      </c>
      <c r="J35" s="227" t="str">
        <f t="shared" si="19"/>
        <v/>
      </c>
      <c r="K35" s="227" t="str">
        <f t="shared" si="19"/>
        <v/>
      </c>
      <c r="L35" s="227" t="str">
        <f t="shared" si="19"/>
        <v/>
      </c>
      <c r="M35" s="228" t="str">
        <f t="shared" si="19"/>
        <v/>
      </c>
      <c r="N35" s="6"/>
    </row>
    <row r="36" spans="1:14" ht="15.75" customHeight="1">
      <c r="A36" s="9"/>
      <c r="B36" s="47" t="s">
        <v>67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>
      <c r="A37" s="9"/>
      <c r="B37" s="165" t="s">
        <v>242</v>
      </c>
      <c r="C37" s="162">
        <v>0</v>
      </c>
      <c r="D37" s="162">
        <v>606819</v>
      </c>
      <c r="E37" s="162">
        <v>564483</v>
      </c>
      <c r="F37" s="162">
        <v>737131</v>
      </c>
      <c r="G37" s="162"/>
      <c r="H37" s="162"/>
      <c r="I37" s="162"/>
      <c r="J37" s="162"/>
      <c r="K37" s="162"/>
      <c r="L37" s="162"/>
      <c r="M37" s="163"/>
      <c r="N37" s="6"/>
    </row>
    <row r="38" spans="1:14" ht="15.75" customHeight="1">
      <c r="A38" s="9"/>
      <c r="B38" s="139" t="s">
        <v>68</v>
      </c>
      <c r="C38" s="161">
        <v>0</v>
      </c>
      <c r="D38" s="161">
        <v>0</v>
      </c>
      <c r="E38" s="161">
        <v>7739</v>
      </c>
      <c r="F38" s="161">
        <v>142238</v>
      </c>
      <c r="G38" s="161"/>
      <c r="H38" s="161"/>
      <c r="I38" s="161"/>
      <c r="J38" s="161"/>
      <c r="K38" s="161"/>
      <c r="L38" s="161"/>
      <c r="M38" s="164"/>
      <c r="N38" s="6"/>
    </row>
    <row r="39" spans="1:14" ht="15.75" customHeight="1">
      <c r="A39" s="9"/>
      <c r="B39" s="139" t="s">
        <v>199</v>
      </c>
      <c r="C39" s="167">
        <f t="shared" ref="C39:M39" si="20">IF(C37="","",C37*$C$4/Common_Shares)</f>
        <v>0</v>
      </c>
      <c r="D39" s="167">
        <f t="shared" si="20"/>
        <v>0.43205033836598972</v>
      </c>
      <c r="E39" s="167">
        <f t="shared" si="20"/>
        <v>0.40190744052485006</v>
      </c>
      <c r="F39" s="167">
        <f t="shared" si="20"/>
        <v>0.52483145381087337</v>
      </c>
      <c r="G39" s="167" t="str">
        <f t="shared" si="20"/>
        <v/>
      </c>
      <c r="H39" s="167" t="str">
        <f t="shared" si="20"/>
        <v/>
      </c>
      <c r="I39" s="167" t="str">
        <f t="shared" si="20"/>
        <v/>
      </c>
      <c r="J39" s="167" t="str">
        <f t="shared" si="20"/>
        <v/>
      </c>
      <c r="K39" s="167" t="str">
        <f t="shared" si="20"/>
        <v/>
      </c>
      <c r="L39" s="167" t="str">
        <f t="shared" si="20"/>
        <v/>
      </c>
      <c r="M39" s="168" t="str">
        <f t="shared" si="20"/>
        <v/>
      </c>
      <c r="N39" s="6"/>
    </row>
    <row r="40" spans="1:14" ht="15.75" customHeight="1">
      <c r="A40" s="9"/>
      <c r="B40" s="166" t="s">
        <v>200</v>
      </c>
      <c r="C40" s="169">
        <f t="shared" ref="C40:M40" si="21">IF(C38="","",C38*$C$4/Common_Shares)</f>
        <v>0</v>
      </c>
      <c r="D40" s="169">
        <f t="shared" si="21"/>
        <v>0</v>
      </c>
      <c r="E40" s="169">
        <f t="shared" si="21"/>
        <v>5.5101069159245088E-3</v>
      </c>
      <c r="F40" s="169">
        <f t="shared" si="21"/>
        <v>0.10127233331273683</v>
      </c>
      <c r="G40" s="169" t="str">
        <f t="shared" si="21"/>
        <v/>
      </c>
      <c r="H40" s="169" t="str">
        <f t="shared" si="21"/>
        <v/>
      </c>
      <c r="I40" s="169" t="str">
        <f t="shared" si="21"/>
        <v/>
      </c>
      <c r="J40" s="169" t="str">
        <f t="shared" si="21"/>
        <v/>
      </c>
      <c r="K40" s="169" t="str">
        <f t="shared" si="21"/>
        <v/>
      </c>
      <c r="L40" s="169" t="str">
        <f t="shared" si="21"/>
        <v/>
      </c>
      <c r="M40" s="170" t="str">
        <f t="shared" si="21"/>
        <v/>
      </c>
      <c r="N40" s="6"/>
    </row>
    <row r="41" spans="1:14" ht="15.75" customHeight="1">
      <c r="A41" s="9"/>
      <c r="B41" s="88" t="s">
        <v>69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>
      <c r="A42" s="9"/>
      <c r="B42" s="43" t="s">
        <v>70</v>
      </c>
      <c r="C42" s="48">
        <f>IF(C29="","",C25/C28)</f>
        <v>4.3410930017286277E-2</v>
      </c>
      <c r="D42" s="48">
        <f t="shared" ref="D42:M42" si="22">IF(D29="","",D25/D29)</f>
        <v>3.9247468285014443E-2</v>
      </c>
      <c r="E42" s="48">
        <f t="shared" si="22"/>
        <v>3.9712144175970611E-2</v>
      </c>
      <c r="F42" s="48">
        <f t="shared" si="22"/>
        <v>4.2004418062884387E-2</v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3" t="str">
        <f t="shared" si="22"/>
        <v/>
      </c>
      <c r="N42" s="6"/>
    </row>
    <row r="43" spans="1:14" ht="15.75" customHeight="1">
      <c r="A43" s="9"/>
      <c r="B43" s="44" t="s">
        <v>237</v>
      </c>
      <c r="C43" s="14">
        <f t="shared" ref="C43:M43" si="23">IF(C29="","",C27/C29)</f>
        <v>0.48137511122443138</v>
      </c>
      <c r="D43" s="14">
        <f t="shared" si="23"/>
        <v>0.47234774978978539</v>
      </c>
      <c r="E43" s="14">
        <f t="shared" si="23"/>
        <v>0.2432756796820536</v>
      </c>
      <c r="F43" s="14">
        <f t="shared" si="23"/>
        <v>0.2891510299659335</v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04" t="str">
        <f t="shared" si="23"/>
        <v/>
      </c>
      <c r="N43" s="6"/>
    </row>
    <row r="44" spans="1:14" ht="15.75" customHeight="1">
      <c r="A44" s="9"/>
      <c r="B44" s="44" t="s">
        <v>71</v>
      </c>
      <c r="C44" s="50">
        <f t="shared" ref="C44:M44" si="24">IF(C14="","",IF(C27&lt;=0,"-",C14/C27))</f>
        <v>0.19360435303409151</v>
      </c>
      <c r="D44" s="50">
        <f t="shared" si="24"/>
        <v>0.32460854876979545</v>
      </c>
      <c r="E44" s="50">
        <f t="shared" si="24"/>
        <v>0.74023040878779856</v>
      </c>
      <c r="F44" s="50">
        <f t="shared" si="24"/>
        <v>0.77679778267582289</v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05" t="str">
        <f t="shared" si="24"/>
        <v/>
      </c>
      <c r="N44" s="6"/>
    </row>
    <row r="45" spans="1:14" ht="15.75" customHeight="1">
      <c r="A45" s="9"/>
      <c r="B45" s="44" t="s">
        <v>72</v>
      </c>
      <c r="C45" s="14">
        <f t="shared" ref="C45:M45" si="25">IF(C16="","",IF(C18&lt;=0,"-",C18/C16))</f>
        <v>0.16932922956666177</v>
      </c>
      <c r="D45" s="14">
        <f t="shared" si="25"/>
        <v>2.6794570508614245E-2</v>
      </c>
      <c r="E45" s="14">
        <f t="shared" si="25"/>
        <v>2.1796959871434204E-2</v>
      </c>
      <c r="F45" s="14">
        <f t="shared" si="25"/>
        <v>1.7050012375610206E-2</v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04" t="str">
        <f t="shared" si="25"/>
        <v/>
      </c>
      <c r="N45" s="6"/>
    </row>
    <row r="46" spans="1:14" ht="15.75" customHeight="1">
      <c r="A46" s="9"/>
      <c r="B46" s="46" t="s">
        <v>73</v>
      </c>
      <c r="C46" s="51">
        <f t="shared" ref="C46:M46" si="26">IF(C21="","",C21/C22)</f>
        <v>1.4757004333706838</v>
      </c>
      <c r="D46" s="51">
        <f t="shared" si="26"/>
        <v>1.6889262653006001</v>
      </c>
      <c r="E46" s="51">
        <f t="shared" si="26"/>
        <v>1.9343638707072399</v>
      </c>
      <c r="F46" s="51">
        <f t="shared" si="26"/>
        <v>1.7979505417744617</v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06" t="str">
        <f t="shared" si="26"/>
        <v/>
      </c>
      <c r="N46" s="6"/>
    </row>
    <row r="47" spans="1:14" ht="15.75" customHeight="1">
      <c r="A47" s="9"/>
      <c r="B47" s="364" t="s">
        <v>351</v>
      </c>
      <c r="C47" s="363"/>
      <c r="D47" s="363"/>
      <c r="E47" s="363"/>
      <c r="F47" s="363"/>
      <c r="G47" s="363"/>
      <c r="H47" s="363"/>
      <c r="I47" s="363"/>
      <c r="J47" s="363"/>
      <c r="K47" s="363"/>
      <c r="L47" s="363"/>
      <c r="M47" s="363"/>
      <c r="N47" s="6"/>
    </row>
    <row r="48" spans="1:14" ht="15.75" customHeight="1">
      <c r="A48" s="9"/>
      <c r="B48" s="165" t="s">
        <v>352</v>
      </c>
      <c r="C48" s="365">
        <f>C13</f>
        <v>5.7099249113571449E-2</v>
      </c>
      <c r="D48" s="365">
        <f>D13</f>
        <v>8.6419586206441801E-2</v>
      </c>
      <c r="E48" s="365">
        <f t="shared" ref="E48:M48" si="27">E13</f>
        <v>0.11162571911774728</v>
      </c>
      <c r="F48" s="365">
        <f t="shared" si="27"/>
        <v>0.12247078081208196</v>
      </c>
      <c r="G48" s="365" t="str">
        <f t="shared" si="27"/>
        <v/>
      </c>
      <c r="H48" s="365" t="str">
        <f t="shared" si="27"/>
        <v/>
      </c>
      <c r="I48" s="365" t="str">
        <f t="shared" si="27"/>
        <v/>
      </c>
      <c r="J48" s="365" t="str">
        <f t="shared" si="27"/>
        <v/>
      </c>
      <c r="K48" s="365" t="str">
        <f t="shared" si="27"/>
        <v/>
      </c>
      <c r="L48" s="365" t="str">
        <f t="shared" si="27"/>
        <v/>
      </c>
      <c r="M48" s="365" t="str">
        <f t="shared" si="27"/>
        <v/>
      </c>
      <c r="N48" s="6"/>
    </row>
    <row r="49" spans="1:14" ht="15.75" customHeight="1">
      <c r="A49" s="9"/>
      <c r="B49" s="139" t="s">
        <v>353</v>
      </c>
      <c r="C49" s="366">
        <f>C7/(C29+C21+C22)</f>
        <v>0.59050631265636333</v>
      </c>
      <c r="D49" s="366">
        <f>IF(D7="","",D7/(D29+D21+D22))</f>
        <v>0.63851828383560838</v>
      </c>
      <c r="E49" s="366">
        <f t="shared" ref="E49:M49" si="28">IF(E7="","",E7/(E29+E21+E22))</f>
        <v>0.66437173352027401</v>
      </c>
      <c r="F49" s="366">
        <f t="shared" si="28"/>
        <v>0.73014554522493769</v>
      </c>
      <c r="G49" s="366" t="str">
        <f t="shared" si="28"/>
        <v/>
      </c>
      <c r="H49" s="366" t="str">
        <f t="shared" si="28"/>
        <v/>
      </c>
      <c r="I49" s="366" t="str">
        <f t="shared" si="28"/>
        <v/>
      </c>
      <c r="J49" s="366" t="str">
        <f t="shared" si="28"/>
        <v/>
      </c>
      <c r="K49" s="366" t="str">
        <f t="shared" si="28"/>
        <v/>
      </c>
      <c r="L49" s="366" t="str">
        <f t="shared" si="28"/>
        <v/>
      </c>
      <c r="M49" s="366" t="str">
        <f t="shared" si="28"/>
        <v/>
      </c>
      <c r="N49" s="6"/>
    </row>
    <row r="50" spans="1:14" ht="15.75" customHeight="1">
      <c r="A50" s="9"/>
      <c r="B50" s="139" t="s">
        <v>354</v>
      </c>
      <c r="C50" s="367">
        <f>(C29+C21+C22)/C29</f>
        <v>2.7640367183719343</v>
      </c>
      <c r="D50" s="367">
        <f>IF(D29="","",(D29+D21+D22)/D29)</f>
        <v>2.7786655942675393</v>
      </c>
      <c r="E50" s="367">
        <f t="shared" ref="E50:M50" si="29">IF(E29="","",(E29+E21+E22)/E29)</f>
        <v>2.4282321241275633</v>
      </c>
      <c r="F50" s="367">
        <f t="shared" si="29"/>
        <v>2.5118331879846907</v>
      </c>
      <c r="G50" s="367" t="str">
        <f t="shared" si="29"/>
        <v/>
      </c>
      <c r="H50" s="367" t="str">
        <f t="shared" si="29"/>
        <v/>
      </c>
      <c r="I50" s="367" t="str">
        <f t="shared" si="29"/>
        <v/>
      </c>
      <c r="J50" s="367" t="str">
        <f t="shared" si="29"/>
        <v/>
      </c>
      <c r="K50" s="367" t="str">
        <f t="shared" si="29"/>
        <v/>
      </c>
      <c r="L50" s="367" t="str">
        <f t="shared" si="29"/>
        <v/>
      </c>
      <c r="M50" s="367" t="str">
        <f t="shared" si="29"/>
        <v/>
      </c>
      <c r="N50" s="6"/>
    </row>
    <row r="51" spans="1:14" ht="15.75" customHeight="1">
      <c r="A51" s="9"/>
      <c r="B51" s="139" t="s">
        <v>355</v>
      </c>
      <c r="C51" s="368">
        <f>C48*C49*C50</f>
        <v>9.3196316975319896E-2</v>
      </c>
      <c r="D51" s="368">
        <f>IF(D48="","",D48*D49*D50)</f>
        <v>0.15332811757394069</v>
      </c>
      <c r="E51" s="368">
        <f t="shared" ref="E51:M51" si="30">IF(E48="","",E48*E49*E50)</f>
        <v>0.18008005581917608</v>
      </c>
      <c r="F51" s="368">
        <f t="shared" si="30"/>
        <v>0.22461187893596754</v>
      </c>
      <c r="G51" s="368" t="str">
        <f t="shared" si="30"/>
        <v/>
      </c>
      <c r="H51" s="368" t="str">
        <f t="shared" si="30"/>
        <v/>
      </c>
      <c r="I51" s="368" t="str">
        <f t="shared" si="30"/>
        <v/>
      </c>
      <c r="J51" s="368" t="str">
        <f t="shared" si="30"/>
        <v/>
      </c>
      <c r="K51" s="368" t="str">
        <f t="shared" si="30"/>
        <v/>
      </c>
      <c r="L51" s="368" t="str">
        <f t="shared" si="30"/>
        <v/>
      </c>
      <c r="M51" s="368" t="str">
        <f t="shared" si="30"/>
        <v/>
      </c>
      <c r="N51" s="6"/>
    </row>
    <row r="52" spans="1:14" ht="15.75" customHeight="1">
      <c r="A52" s="9"/>
      <c r="B52" s="369" t="s">
        <v>356</v>
      </c>
      <c r="C52" s="370">
        <f>C35*C51</f>
        <v>2.5343098101249361E-2</v>
      </c>
      <c r="D52" s="370">
        <f>IF(D35="","",D35*D51)</f>
        <v>5.2487099126238432E-2</v>
      </c>
      <c r="E52" s="370">
        <f t="shared" ref="E52:M52" si="31">IF(E35="","",E35*E51)</f>
        <v>3.9275362119115462E-3</v>
      </c>
      <c r="F52" s="370" t="str">
        <f t="shared" si="31"/>
        <v/>
      </c>
      <c r="G52" s="370" t="str">
        <f t="shared" si="31"/>
        <v/>
      </c>
      <c r="H52" s="370" t="str">
        <f t="shared" si="31"/>
        <v/>
      </c>
      <c r="I52" s="370" t="str">
        <f t="shared" si="31"/>
        <v/>
      </c>
      <c r="J52" s="370" t="str">
        <f t="shared" si="31"/>
        <v/>
      </c>
      <c r="K52" s="370" t="str">
        <f t="shared" si="31"/>
        <v/>
      </c>
      <c r="L52" s="370" t="str">
        <f t="shared" si="31"/>
        <v/>
      </c>
      <c r="M52" s="370" t="str">
        <f t="shared" si="31"/>
        <v/>
      </c>
      <c r="N52" s="6"/>
    </row>
    <row r="53" spans="1:14" ht="15.75" customHeight="1">
      <c r="A53" s="9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</row>
    <row r="54" spans="1:14" ht="15.75" customHeight="1">
      <c r="A54" s="9"/>
      <c r="B54" s="21" t="s">
        <v>74</v>
      </c>
      <c r="C54" s="52"/>
      <c r="D54" s="52"/>
      <c r="E54" s="52"/>
      <c r="F54" s="52"/>
    </row>
    <row r="55" spans="1:14" ht="15" customHeight="1">
      <c r="A55" s="9"/>
      <c r="B55" s="5" t="s">
        <v>75</v>
      </c>
      <c r="C55" s="317" t="s">
        <v>76</v>
      </c>
      <c r="D55" s="6"/>
      <c r="F55" s="6"/>
      <c r="G55" s="6"/>
      <c r="H55" s="6"/>
      <c r="I55" s="6"/>
      <c r="J55" s="6"/>
      <c r="K55" s="6"/>
      <c r="L55" s="6"/>
      <c r="M55" s="6"/>
    </row>
    <row r="56" spans="1:14" ht="15" customHeight="1">
      <c r="A56" s="9"/>
      <c r="B56" s="5"/>
      <c r="C56" s="314"/>
      <c r="D56" s="6"/>
      <c r="E56" s="314"/>
      <c r="F56" s="6"/>
      <c r="G56" s="6"/>
      <c r="H56" s="6"/>
      <c r="I56" s="6"/>
      <c r="J56" s="6"/>
      <c r="K56" s="6"/>
      <c r="L56" s="6"/>
      <c r="M56" s="6"/>
    </row>
    <row r="57" spans="1:14" ht="15.75" customHeight="1">
      <c r="A57" s="9"/>
      <c r="B57" s="315" t="s">
        <v>276</v>
      </c>
      <c r="C57" s="162"/>
      <c r="D57" s="162"/>
      <c r="E57" s="162"/>
      <c r="F57" s="162"/>
      <c r="G57" s="162"/>
      <c r="H57" s="162"/>
      <c r="I57" s="162"/>
      <c r="J57" s="162"/>
      <c r="K57" s="162"/>
      <c r="L57" s="162"/>
      <c r="M57" s="163"/>
    </row>
    <row r="58" spans="1:14" ht="15.75" customHeight="1">
      <c r="A58" s="9"/>
      <c r="B58" s="316" t="s">
        <v>277</v>
      </c>
      <c r="C58" s="320" t="str">
        <f>IF(C57="","",C57/C7)</f>
        <v/>
      </c>
      <c r="D58" s="320" t="str">
        <f t="shared" ref="D58:M58" si="32">IF(D57="","",D57/D7)</f>
        <v/>
      </c>
      <c r="E58" s="320" t="str">
        <f t="shared" si="32"/>
        <v/>
      </c>
      <c r="F58" s="320" t="str">
        <f t="shared" si="32"/>
        <v/>
      </c>
      <c r="G58" s="320" t="str">
        <f t="shared" si="32"/>
        <v/>
      </c>
      <c r="H58" s="320" t="str">
        <f>IF(H57="","",H57/H7)</f>
        <v/>
      </c>
      <c r="I58" s="320" t="str">
        <f t="shared" si="32"/>
        <v/>
      </c>
      <c r="J58" s="320" t="str">
        <f t="shared" si="32"/>
        <v/>
      </c>
      <c r="K58" s="320" t="str">
        <f t="shared" si="32"/>
        <v/>
      </c>
      <c r="L58" s="320" t="str">
        <f t="shared" si="32"/>
        <v/>
      </c>
      <c r="M58" s="321" t="str">
        <f t="shared" si="32"/>
        <v/>
      </c>
    </row>
    <row r="59" spans="1:14" ht="15.75" customHeight="1">
      <c r="A59" s="9"/>
      <c r="B59" s="53"/>
      <c r="C59" s="56"/>
      <c r="D59" s="56"/>
    </row>
    <row r="60" spans="1:14" ht="15.75" customHeight="1">
      <c r="A60" s="9"/>
      <c r="B60" s="53"/>
      <c r="C60" s="56"/>
      <c r="D60" s="56"/>
    </row>
    <row r="61" spans="1:14" ht="15.75" customHeight="1">
      <c r="A61" s="9"/>
      <c r="B61" s="53"/>
      <c r="C61" s="56"/>
      <c r="D61" s="56"/>
    </row>
    <row r="62" spans="1:14" ht="15.75" customHeight="1">
      <c r="A62" s="9"/>
      <c r="B62" s="53"/>
      <c r="C62" s="57"/>
      <c r="D62" s="57"/>
    </row>
    <row r="63" spans="1:14" ht="15.75" customHeight="1">
      <c r="A63" s="9"/>
      <c r="B63" s="53"/>
      <c r="C63" s="56"/>
      <c r="D63" s="56"/>
    </row>
    <row r="64" spans="1:14" ht="15.75" customHeight="1">
      <c r="A64" s="9"/>
      <c r="B64" s="53"/>
      <c r="C64" s="57"/>
      <c r="D64" s="57"/>
    </row>
    <row r="65" spans="1:1" ht="15.75" customHeight="1">
      <c r="A65" s="9"/>
    </row>
    <row r="66" spans="1:1" ht="15.75" customHeight="1">
      <c r="A66" s="9"/>
    </row>
    <row r="67" spans="1:1" ht="15.75" customHeight="1">
      <c r="A67" s="9"/>
    </row>
    <row r="68" spans="1:1" ht="15.75" customHeight="1">
      <c r="A68" s="9"/>
    </row>
    <row r="69" spans="1:1" ht="15.75" customHeight="1">
      <c r="A69" s="9"/>
    </row>
    <row r="70" spans="1:1" ht="15.75" customHeight="1">
      <c r="A70" s="9"/>
    </row>
    <row r="71" spans="1:1" ht="15.75" customHeight="1">
      <c r="A71" s="9"/>
    </row>
    <row r="72" spans="1:1" ht="15.75" customHeight="1">
      <c r="A72" s="9"/>
    </row>
    <row r="73" spans="1:1" ht="15.75" customHeight="1">
      <c r="A73" s="9"/>
    </row>
    <row r="74" spans="1:1" ht="15.75" customHeight="1">
      <c r="A74" s="9"/>
    </row>
    <row r="75" spans="1:1" ht="15.75" customHeight="1">
      <c r="A75" s="9"/>
    </row>
    <row r="76" spans="1:1" ht="15.75" customHeight="1">
      <c r="A76" s="9"/>
    </row>
    <row r="77" spans="1:1" ht="15.75" customHeight="1">
      <c r="A77" s="9"/>
    </row>
    <row r="78" spans="1:1" ht="15.75" customHeight="1">
      <c r="A78" s="9"/>
    </row>
    <row r="79" spans="1:1" ht="15.75" customHeight="1">
      <c r="A79" s="9"/>
    </row>
    <row r="80" spans="1:1" ht="15.75" customHeight="1">
      <c r="A80" s="9"/>
    </row>
    <row r="81" spans="1:1" ht="15.75" customHeight="1">
      <c r="A81" s="9"/>
    </row>
    <row r="82" spans="1:1" ht="15.75" customHeight="1">
      <c r="A82" s="9"/>
    </row>
    <row r="83" spans="1:1" ht="15.75" customHeight="1">
      <c r="A83" s="9"/>
    </row>
    <row r="84" spans="1:1" ht="15.75" customHeight="1">
      <c r="A84" s="9"/>
    </row>
    <row r="85" spans="1:1" ht="15.75" customHeight="1">
      <c r="A85" s="9"/>
    </row>
    <row r="86" spans="1:1" ht="15.75" customHeight="1">
      <c r="A86" s="9"/>
    </row>
    <row r="87" spans="1:1" ht="15.75" customHeight="1">
      <c r="A87" s="9"/>
    </row>
    <row r="88" spans="1:1" ht="15.75" customHeight="1">
      <c r="A88" s="9"/>
    </row>
    <row r="89" spans="1:1" ht="15.75" customHeight="1">
      <c r="A89" s="9"/>
    </row>
    <row r="90" spans="1:1" ht="15.75" customHeight="1">
      <c r="A90" s="9"/>
    </row>
    <row r="91" spans="1:1" ht="15.75" customHeight="1">
      <c r="A91" s="9"/>
    </row>
    <row r="92" spans="1:1" ht="15.75" customHeight="1">
      <c r="A92" s="9"/>
    </row>
    <row r="93" spans="1:1" ht="15.75" customHeight="1">
      <c r="A93" s="9"/>
    </row>
    <row r="94" spans="1:1" ht="15.75" customHeight="1">
      <c r="A94" s="9"/>
    </row>
    <row r="95" spans="1:1" ht="15.75" customHeight="1">
      <c r="A95" s="9"/>
    </row>
    <row r="96" spans="1:1" ht="15.75" customHeight="1">
      <c r="A96" s="9"/>
    </row>
    <row r="97" spans="1:1" ht="15.75" customHeight="1">
      <c r="A97" s="9"/>
    </row>
    <row r="98" spans="1:1" ht="15.75" customHeight="1">
      <c r="A98" s="9"/>
    </row>
    <row r="99" spans="1:1" ht="15.75" customHeight="1">
      <c r="A99" s="9"/>
    </row>
    <row r="100" spans="1:1" ht="15.75" customHeight="1">
      <c r="A100" s="9"/>
    </row>
    <row r="101" spans="1:1" ht="15.75" customHeight="1">
      <c r="A101" s="9"/>
    </row>
    <row r="102" spans="1:1" ht="15.75" customHeight="1">
      <c r="A102" s="9"/>
    </row>
    <row r="103" spans="1:1" ht="15.75" customHeight="1">
      <c r="A103" s="9"/>
    </row>
    <row r="104" spans="1:1" ht="15.75" customHeight="1">
      <c r="A104" s="9"/>
    </row>
    <row r="105" spans="1:1" ht="15.75" customHeight="1">
      <c r="A105" s="9"/>
    </row>
    <row r="106" spans="1:1" ht="15.75" customHeight="1">
      <c r="A106" s="9"/>
    </row>
    <row r="107" spans="1:1" ht="15.75" customHeight="1">
      <c r="A107" s="9"/>
    </row>
    <row r="108" spans="1:1" ht="15.75" customHeight="1">
      <c r="A108" s="9"/>
    </row>
    <row r="109" spans="1:1" ht="15.75" customHeight="1">
      <c r="A109" s="9"/>
    </row>
    <row r="110" spans="1:1" ht="15.75" customHeight="1">
      <c r="A110" s="9"/>
    </row>
    <row r="111" spans="1:1" ht="15.75" customHeight="1">
      <c r="A111" s="9"/>
    </row>
    <row r="112" spans="1:1" ht="15.75" customHeight="1">
      <c r="A112" s="9"/>
    </row>
    <row r="113" spans="1:1" ht="15.75" customHeight="1">
      <c r="A113" s="9"/>
    </row>
    <row r="114" spans="1:1" ht="15.75" customHeight="1">
      <c r="A114" s="9"/>
    </row>
    <row r="115" spans="1:1" ht="15.75" customHeight="1">
      <c r="A115" s="9"/>
    </row>
    <row r="116" spans="1:1" ht="15.75" customHeight="1">
      <c r="A116" s="9"/>
    </row>
    <row r="117" spans="1:1" ht="15.75" customHeight="1">
      <c r="A117" s="9"/>
    </row>
    <row r="118" spans="1:1" ht="15.75" customHeight="1">
      <c r="A118" s="9"/>
    </row>
    <row r="119" spans="1:1" ht="15.75" customHeight="1">
      <c r="A119" s="9"/>
    </row>
    <row r="120" spans="1:1" ht="15.75" customHeight="1">
      <c r="A120" s="9"/>
    </row>
    <row r="121" spans="1:1" ht="15.75" customHeight="1">
      <c r="A121" s="9"/>
    </row>
    <row r="122" spans="1:1" ht="15.75" customHeight="1">
      <c r="A122" s="9"/>
    </row>
    <row r="123" spans="1:1" ht="15.75" customHeight="1">
      <c r="A123" s="9"/>
    </row>
    <row r="124" spans="1:1" ht="15.75" customHeight="1">
      <c r="A124" s="9"/>
    </row>
    <row r="125" spans="1:1" ht="15.75" customHeight="1">
      <c r="A125" s="9"/>
    </row>
    <row r="126" spans="1:1" ht="15.75" customHeight="1">
      <c r="A126" s="9"/>
    </row>
    <row r="127" spans="1:1" ht="15.75" customHeight="1">
      <c r="A127" s="9"/>
    </row>
    <row r="128" spans="1:1" ht="15.75" customHeight="1">
      <c r="A128" s="9"/>
    </row>
    <row r="129" spans="1:1" ht="15.75" customHeight="1">
      <c r="A129" s="9"/>
    </row>
    <row r="130" spans="1:1" ht="15.75" customHeight="1">
      <c r="A130" s="9"/>
    </row>
    <row r="131" spans="1:1" ht="15.75" customHeight="1">
      <c r="A131" s="9"/>
    </row>
    <row r="132" spans="1:1" ht="15.75" customHeight="1">
      <c r="A132" s="9"/>
    </row>
    <row r="133" spans="1:1" ht="15.75" customHeight="1">
      <c r="A133" s="9"/>
    </row>
    <row r="134" spans="1:1" ht="15.75" customHeight="1">
      <c r="A134" s="9"/>
    </row>
    <row r="135" spans="1:1" ht="15.75" customHeight="1">
      <c r="A135" s="9"/>
    </row>
    <row r="136" spans="1:1" ht="15.75" customHeight="1">
      <c r="A136" s="9"/>
    </row>
    <row r="137" spans="1:1" ht="15.75" customHeight="1">
      <c r="A137" s="9"/>
    </row>
    <row r="138" spans="1:1" ht="15.75" customHeight="1">
      <c r="A138" s="9"/>
    </row>
    <row r="139" spans="1:1" ht="15.75" customHeight="1">
      <c r="A139" s="9"/>
    </row>
    <row r="140" spans="1:1" ht="15.75" customHeight="1">
      <c r="A140" s="9"/>
    </row>
    <row r="141" spans="1:1" ht="15.75" customHeight="1">
      <c r="A141" s="9"/>
    </row>
    <row r="142" spans="1:1" ht="15.75" customHeight="1">
      <c r="A142" s="9"/>
    </row>
    <row r="143" spans="1:1" ht="15.75" customHeight="1">
      <c r="A143" s="9"/>
    </row>
    <row r="144" spans="1:1" ht="15.75" customHeight="1">
      <c r="A144" s="9"/>
    </row>
    <row r="145" spans="1:1" ht="15.75" customHeight="1">
      <c r="A145" s="9"/>
    </row>
    <row r="146" spans="1:1" ht="15.75" customHeight="1">
      <c r="A146" s="9"/>
    </row>
    <row r="147" spans="1:1" ht="15.75" customHeight="1">
      <c r="A147" s="9"/>
    </row>
    <row r="148" spans="1:1" ht="15.75" customHeight="1">
      <c r="A148" s="9"/>
    </row>
    <row r="149" spans="1:1" ht="15.75" customHeight="1">
      <c r="A149" s="9"/>
    </row>
    <row r="150" spans="1:1" ht="15.75" customHeight="1">
      <c r="A150" s="9"/>
    </row>
    <row r="151" spans="1:1" ht="15.75" customHeight="1">
      <c r="A151" s="9"/>
    </row>
    <row r="152" spans="1:1" ht="15.75" customHeight="1">
      <c r="A152" s="9"/>
    </row>
    <row r="153" spans="1:1" ht="15.75" customHeight="1">
      <c r="A153" s="9"/>
    </row>
    <row r="154" spans="1:1" ht="15.75" customHeight="1">
      <c r="A154" s="9"/>
    </row>
    <row r="155" spans="1:1" ht="15.75" customHeight="1">
      <c r="A155" s="9"/>
    </row>
    <row r="156" spans="1:1" ht="15.75" customHeight="1">
      <c r="A156" s="9"/>
    </row>
    <row r="157" spans="1:1" ht="15.75" customHeight="1">
      <c r="A157" s="9"/>
    </row>
    <row r="158" spans="1:1" ht="15.75" customHeight="1">
      <c r="A158" s="9"/>
    </row>
    <row r="159" spans="1:1" ht="15.75" customHeight="1">
      <c r="A159" s="9"/>
    </row>
    <row r="160" spans="1:1" ht="15.75" customHeight="1">
      <c r="A160" s="9"/>
    </row>
    <row r="161" spans="1:1" ht="15.75" customHeight="1">
      <c r="A161" s="9"/>
    </row>
    <row r="162" spans="1:1" ht="15.75" customHeight="1">
      <c r="A162" s="9"/>
    </row>
    <row r="163" spans="1:1" ht="15.75" customHeight="1">
      <c r="A163" s="9"/>
    </row>
    <row r="164" spans="1:1" ht="15.75" customHeight="1">
      <c r="A164" s="9"/>
    </row>
    <row r="165" spans="1:1" ht="15.75" customHeight="1">
      <c r="A165" s="9"/>
    </row>
    <row r="166" spans="1:1" ht="15.75" customHeight="1">
      <c r="A166" s="9"/>
    </row>
    <row r="167" spans="1:1" ht="15.75" customHeight="1">
      <c r="A167" s="9"/>
    </row>
    <row r="168" spans="1:1" ht="15.75" customHeight="1">
      <c r="A168" s="9"/>
    </row>
    <row r="169" spans="1:1" ht="15.75" customHeight="1">
      <c r="A169" s="9"/>
    </row>
    <row r="170" spans="1:1" ht="15.75" customHeight="1">
      <c r="A170" s="9"/>
    </row>
    <row r="171" spans="1:1" ht="15.75" customHeight="1">
      <c r="A171" s="9"/>
    </row>
    <row r="172" spans="1:1" ht="15.75" customHeight="1">
      <c r="A172" s="9"/>
    </row>
    <row r="173" spans="1:1" ht="15.75" customHeight="1">
      <c r="A173" s="9"/>
    </row>
    <row r="174" spans="1:1" ht="15.75" customHeight="1">
      <c r="A174" s="9"/>
    </row>
    <row r="175" spans="1:1" ht="15.75" customHeight="1">
      <c r="A175" s="9"/>
    </row>
    <row r="176" spans="1:1" ht="15.75" customHeight="1">
      <c r="A176" s="9"/>
    </row>
    <row r="177" spans="1:1" ht="15.75" customHeight="1">
      <c r="A177" s="9"/>
    </row>
    <row r="178" spans="1:1" ht="15.75" customHeight="1">
      <c r="A178" s="9"/>
    </row>
    <row r="179" spans="1:1" ht="15.75" customHeight="1">
      <c r="A179" s="9"/>
    </row>
    <row r="180" spans="1:1" ht="15.75" customHeight="1">
      <c r="A180" s="9"/>
    </row>
    <row r="181" spans="1:1" ht="15.75" customHeight="1">
      <c r="A181" s="9"/>
    </row>
    <row r="182" spans="1:1" ht="15.75" customHeight="1">
      <c r="A182" s="9"/>
    </row>
    <row r="183" spans="1:1" ht="15.75" customHeight="1">
      <c r="A183" s="9"/>
    </row>
    <row r="184" spans="1:1" ht="15.75" customHeight="1">
      <c r="A184" s="9"/>
    </row>
    <row r="185" spans="1:1" ht="15.75" customHeight="1">
      <c r="A185" s="9"/>
    </row>
    <row r="186" spans="1:1" ht="15.75" customHeight="1">
      <c r="A186" s="9"/>
    </row>
    <row r="187" spans="1:1" ht="15.75" customHeight="1">
      <c r="A187" s="9"/>
    </row>
    <row r="188" spans="1:1" ht="15.75" customHeight="1">
      <c r="A188" s="9"/>
    </row>
    <row r="189" spans="1:1" ht="15.75" customHeight="1">
      <c r="A189" s="9"/>
    </row>
    <row r="190" spans="1:1" ht="15.75" customHeight="1">
      <c r="A190" s="9"/>
    </row>
    <row r="191" spans="1:1" ht="15.75" customHeight="1">
      <c r="A191" s="9"/>
    </row>
    <row r="192" spans="1:1" ht="15.75" customHeight="1">
      <c r="A192" s="9"/>
    </row>
    <row r="193" spans="1:1" ht="15.75" customHeight="1">
      <c r="A193" s="9"/>
    </row>
    <row r="194" spans="1:1" ht="15.75" customHeight="1">
      <c r="A194" s="9"/>
    </row>
    <row r="195" spans="1:1" ht="15.75" customHeight="1">
      <c r="A195" s="9"/>
    </row>
    <row r="196" spans="1:1" ht="15.75" customHeight="1">
      <c r="A196" s="9"/>
    </row>
    <row r="197" spans="1:1" ht="15.75" customHeight="1">
      <c r="A197" s="9"/>
    </row>
    <row r="198" spans="1:1" ht="15.75" customHeight="1">
      <c r="A198" s="9"/>
    </row>
    <row r="199" spans="1:1" ht="15.75" customHeight="1">
      <c r="A199" s="9"/>
    </row>
    <row r="200" spans="1:1" ht="15.75" customHeight="1">
      <c r="A200" s="9"/>
    </row>
    <row r="201" spans="1:1" ht="15.75" customHeight="1">
      <c r="A201" s="9"/>
    </row>
    <row r="202" spans="1:1" ht="15.75" customHeight="1">
      <c r="A202" s="9"/>
    </row>
    <row r="203" spans="1:1" ht="15.75" customHeight="1">
      <c r="A203" s="9"/>
    </row>
    <row r="204" spans="1:1" ht="15.75" customHeight="1">
      <c r="A204" s="9"/>
    </row>
    <row r="205" spans="1:1" ht="15.75" customHeight="1">
      <c r="A205" s="9"/>
    </row>
    <row r="206" spans="1:1" ht="15.75" customHeight="1">
      <c r="A206" s="9"/>
    </row>
    <row r="207" spans="1:1" ht="15.75" customHeight="1">
      <c r="A207" s="9"/>
    </row>
    <row r="208" spans="1:1" ht="15.75" customHeight="1">
      <c r="A208" s="9"/>
    </row>
    <row r="209" spans="1:1" ht="15.75" customHeight="1">
      <c r="A209" s="9"/>
    </row>
    <row r="210" spans="1:1" ht="15.75" customHeight="1">
      <c r="A210" s="9"/>
    </row>
    <row r="211" spans="1:1" ht="15.75" customHeight="1">
      <c r="A211" s="9"/>
    </row>
    <row r="212" spans="1:1" ht="15.75" customHeight="1">
      <c r="A212" s="9"/>
    </row>
    <row r="213" spans="1:1" ht="15.75" customHeight="1">
      <c r="A213" s="9"/>
    </row>
    <row r="214" spans="1:1" ht="15.75" customHeight="1">
      <c r="A214" s="9"/>
    </row>
    <row r="215" spans="1:1" ht="15.75" customHeight="1">
      <c r="A215" s="9"/>
    </row>
    <row r="216" spans="1:1" ht="15.75" customHeight="1">
      <c r="A216" s="9"/>
    </row>
    <row r="217" spans="1:1" ht="15.75" customHeight="1">
      <c r="A217" s="9"/>
    </row>
    <row r="218" spans="1:1" ht="15.75" customHeight="1">
      <c r="A218" s="9"/>
    </row>
    <row r="219" spans="1:1" ht="15.75" customHeight="1">
      <c r="A219" s="9"/>
    </row>
    <row r="220" spans="1:1" ht="15.75" customHeight="1">
      <c r="A220" s="9"/>
    </row>
    <row r="221" spans="1:1" ht="15.75" customHeight="1">
      <c r="A221" s="9"/>
    </row>
    <row r="222" spans="1:1" ht="15.75" customHeight="1">
      <c r="A222" s="9"/>
    </row>
    <row r="223" spans="1:1" ht="15.75" customHeight="1">
      <c r="A223" s="9"/>
    </row>
    <row r="224" spans="1:1" ht="15.75" customHeight="1">
      <c r="A224" s="9"/>
    </row>
    <row r="225" spans="1:1" ht="15.75" customHeight="1">
      <c r="A225" s="9"/>
    </row>
    <row r="226" spans="1:1" ht="15.75" customHeight="1">
      <c r="A226" s="9"/>
    </row>
    <row r="227" spans="1:1" ht="15.75" customHeight="1">
      <c r="A227" s="9"/>
    </row>
    <row r="228" spans="1:1" ht="15.75" customHeight="1">
      <c r="A228" s="9"/>
    </row>
    <row r="229" spans="1:1" ht="15.75" customHeight="1">
      <c r="A229" s="9"/>
    </row>
    <row r="230" spans="1:1" ht="15.75" customHeight="1">
      <c r="A230" s="9"/>
    </row>
    <row r="231" spans="1:1" ht="15.75" customHeight="1">
      <c r="A231" s="9"/>
    </row>
    <row r="232" spans="1:1" ht="15.75" customHeight="1">
      <c r="A232" s="9"/>
    </row>
    <row r="233" spans="1:1" ht="15.75" customHeight="1">
      <c r="A233" s="9"/>
    </row>
    <row r="234" spans="1:1" ht="15.75" customHeight="1">
      <c r="A234" s="9"/>
    </row>
    <row r="235" spans="1:1" ht="15.75" customHeight="1">
      <c r="A235" s="9"/>
    </row>
    <row r="236" spans="1:1" ht="15.75" customHeight="1">
      <c r="A236" s="9"/>
    </row>
    <row r="237" spans="1:1" ht="15.75" customHeight="1">
      <c r="A237" s="9"/>
    </row>
    <row r="238" spans="1:1" ht="15.75" customHeight="1">
      <c r="A238" s="9"/>
    </row>
    <row r="239" spans="1:1" ht="15.75" customHeight="1">
      <c r="A239" s="9"/>
    </row>
    <row r="240" spans="1:1" ht="15.75" customHeight="1">
      <c r="A240" s="9"/>
    </row>
    <row r="241" spans="1:1" ht="15.75" customHeight="1">
      <c r="A241" s="9"/>
    </row>
    <row r="242" spans="1:1" ht="15.75" customHeight="1">
      <c r="A242" s="9"/>
    </row>
    <row r="243" spans="1:1" ht="15.75" customHeight="1">
      <c r="A243" s="9"/>
    </row>
    <row r="244" spans="1:1" ht="15.75" customHeight="1">
      <c r="A244" s="9"/>
    </row>
    <row r="245" spans="1:1" ht="15.75" customHeight="1">
      <c r="A245" s="9"/>
    </row>
    <row r="246" spans="1:1" ht="15.75" customHeight="1">
      <c r="A246" s="9"/>
    </row>
    <row r="247" spans="1:1" ht="15.75" customHeight="1">
      <c r="A247" s="9"/>
    </row>
    <row r="248" spans="1:1" ht="15.75" customHeight="1">
      <c r="A248" s="9"/>
    </row>
    <row r="249" spans="1:1" ht="15.75" customHeight="1">
      <c r="A249" s="9"/>
    </row>
    <row r="250" spans="1:1" ht="15.75" customHeight="1">
      <c r="A250" s="9"/>
    </row>
    <row r="251" spans="1:1" ht="15.75" customHeight="1">
      <c r="A251" s="9"/>
    </row>
    <row r="252" spans="1:1" ht="15.75" customHeight="1">
      <c r="A252" s="9"/>
    </row>
    <row r="253" spans="1:1" ht="15.75" customHeight="1">
      <c r="A253" s="9"/>
    </row>
    <row r="254" spans="1:1" ht="15.75" customHeight="1">
      <c r="A254" s="9"/>
    </row>
    <row r="255" spans="1:1" ht="15.75" customHeight="1">
      <c r="A255" s="9"/>
    </row>
    <row r="256" spans="1:1" ht="15.75" customHeight="1">
      <c r="A256" s="9"/>
    </row>
    <row r="257" spans="1:1" ht="15.75" customHeight="1">
      <c r="A257" s="9"/>
    </row>
    <row r="258" spans="1:1" ht="15.75" customHeight="1">
      <c r="A258" s="9"/>
    </row>
    <row r="259" spans="1:1" ht="15.75" customHeight="1">
      <c r="A259" s="9"/>
    </row>
    <row r="260" spans="1:1" ht="15.75" customHeight="1">
      <c r="A260" s="9"/>
    </row>
    <row r="261" spans="1:1" ht="15.75" customHeight="1">
      <c r="A261" s="9"/>
    </row>
    <row r="262" spans="1:1" ht="15.75" customHeight="1">
      <c r="A262" s="9"/>
    </row>
    <row r="263" spans="1:1" ht="15.75" customHeight="1">
      <c r="A263" s="9"/>
    </row>
    <row r="264" spans="1:1" ht="15.75" customHeight="1">
      <c r="A264" s="9"/>
    </row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</sheetData>
  <phoneticPr fontId="31" type="noConversion"/>
  <conditionalFormatting sqref="B57:M58">
    <cfRule type="expression" dxfId="11" priority="2">
      <formula>$C$55="No"</formula>
    </cfRule>
  </conditionalFormatting>
  <conditionalFormatting sqref="C7:M35 D42:M46">
    <cfRule type="containsBlanks" dxfId="10" priority="4">
      <formula>LEN(TRIM(C7))=0</formula>
    </cfRule>
  </conditionalFormatting>
  <conditionalFormatting sqref="C37:M40">
    <cfRule type="containsBlanks" dxfId="9" priority="6">
      <formula>LEN(TRIM(C37))=0</formula>
    </cfRule>
  </conditionalFormatting>
  <conditionalFormatting sqref="D17:M18">
    <cfRule type="containsBlanks" dxfId="8" priority="5">
      <formula>LEN(TRIM(D17))=0</formula>
    </cfRule>
  </conditionalFormatting>
  <conditionalFormatting sqref="D48:M52">
    <cfRule type="containsBlanks" dxfId="7" priority="1">
      <formula>LEN(TRIM(D48))=0</formula>
    </cfRule>
  </conditionalFormatting>
  <dataValidations count="4">
    <dataValidation type="decimal" allowBlank="1" showDropDown="1" sqref="D57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55" xr:uid="{00000000-0002-0000-0100-000003000000}">
      <formula1>"Yes,No"</formula1>
    </dataValidation>
    <dataValidation allowBlank="1" sqref="C56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12" sqref="D12"/>
    </sheetView>
  </sheetViews>
  <sheetFormatPr defaultColWidth="12.453125" defaultRowHeight="15" customHeight="1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38.81640625" style="3" customWidth="1"/>
    <col min="12" max="16384" width="12.453125" style="3"/>
  </cols>
  <sheetData>
    <row r="2" spans="1:11" ht="15" customHeight="1">
      <c r="A2" s="4"/>
      <c r="B2" s="251" t="s">
        <v>79</v>
      </c>
      <c r="C2" s="251"/>
      <c r="D2" s="11"/>
      <c r="E2" s="12"/>
      <c r="F2" s="12"/>
      <c r="G2" s="12"/>
      <c r="H2" s="12"/>
      <c r="I2" s="12"/>
      <c r="K2" s="319" t="s">
        <v>134</v>
      </c>
    </row>
    <row r="3" spans="1:11" ht="15" customHeight="1">
      <c r="B3" s="5" t="s">
        <v>243</v>
      </c>
      <c r="C3" s="6"/>
      <c r="D3" s="257">
        <v>3088577</v>
      </c>
      <c r="E3" s="153" t="str">
        <f>IF((C46-I46)=D3,"", "Error!")</f>
        <v/>
      </c>
      <c r="F3" s="6"/>
      <c r="G3" s="6"/>
      <c r="H3" s="258" t="s">
        <v>244</v>
      </c>
      <c r="I3" s="259">
        <v>3074864</v>
      </c>
      <c r="K3" s="73"/>
    </row>
    <row r="4" spans="1:11" ht="15" customHeight="1">
      <c r="B4" s="5" t="s">
        <v>217</v>
      </c>
      <c r="C4" s="6"/>
      <c r="D4" s="260">
        <f>D3-I3</f>
        <v>13713</v>
      </c>
      <c r="E4" s="147"/>
      <c r="F4" s="6"/>
      <c r="G4" s="6"/>
      <c r="H4" s="60" t="s">
        <v>80</v>
      </c>
      <c r="I4" s="89">
        <f>(I3*Dashboard!I12*Data!C4)/Dashboard!I5</f>
        <v>2.1892788980394493</v>
      </c>
      <c r="K4" s="73"/>
    </row>
    <row r="5" spans="1:11" ht="15" customHeight="1">
      <c r="D5" s="6"/>
      <c r="E5" s="23" t="s">
        <v>81</v>
      </c>
      <c r="I5" s="6"/>
      <c r="K5" s="73"/>
    </row>
    <row r="6" spans="1:11" ht="15" customHeight="1">
      <c r="B6" s="58" t="s">
        <v>82</v>
      </c>
      <c r="C6" s="6"/>
      <c r="D6" s="59">
        <f>E46-I46-E50+MIN('FCFF Model'!D4,0)</f>
        <v>630998.29999999981</v>
      </c>
      <c r="E6" s="14">
        <f>1-D6/D3</f>
        <v>0.7956993463332791</v>
      </c>
      <c r="F6" s="6"/>
      <c r="G6" s="6"/>
      <c r="H6" s="3" t="s">
        <v>287</v>
      </c>
      <c r="I6" s="69">
        <f>C26/I26</f>
        <v>1.4757004333706838</v>
      </c>
      <c r="J6" s="6"/>
      <c r="K6" s="73"/>
    </row>
    <row r="7" spans="1:11" ht="15" customHeight="1" thickBot="1">
      <c r="B7" s="53" t="s">
        <v>83</v>
      </c>
      <c r="D7" s="61">
        <f>MAX((D6*Exchange_Rate*Data!C4)/Dashboard!I5, 0)</f>
        <v>0.44926580911831071</v>
      </c>
      <c r="E7" s="49" t="str">
        <f>Dashboard!J4</f>
        <v>HKD</v>
      </c>
      <c r="H7" s="3" t="s">
        <v>288</v>
      </c>
      <c r="I7" s="69">
        <f>C25/I26</f>
        <v>1.0353369405718484</v>
      </c>
      <c r="J7" s="6"/>
      <c r="K7" s="114"/>
    </row>
    <row r="8" spans="1:11" ht="15" customHeight="1">
      <c r="D8" s="6"/>
      <c r="H8" s="3" t="s">
        <v>289</v>
      </c>
      <c r="I8" s="69">
        <f>C24/I26</f>
        <v>0.61502260419495514</v>
      </c>
      <c r="K8" s="73"/>
    </row>
    <row r="9" spans="1:11" ht="15" customHeight="1">
      <c r="A9" s="4"/>
      <c r="B9" s="252" t="s">
        <v>239</v>
      </c>
      <c r="C9" s="239"/>
      <c r="D9" s="255">
        <v>45016</v>
      </c>
      <c r="E9" s="270" t="s">
        <v>321</v>
      </c>
      <c r="F9" s="130"/>
      <c r="G9" s="130"/>
      <c r="H9" s="130"/>
      <c r="I9" s="130"/>
      <c r="K9" s="73"/>
    </row>
    <row r="10" spans="1:11" ht="15" customHeight="1">
      <c r="B10" s="5" t="s">
        <v>84</v>
      </c>
      <c r="C10" s="23" t="s">
        <v>85</v>
      </c>
      <c r="D10" s="23" t="s">
        <v>86</v>
      </c>
      <c r="E10" s="23" t="s">
        <v>87</v>
      </c>
      <c r="F10" s="30" t="s">
        <v>227</v>
      </c>
      <c r="G10" s="6"/>
      <c r="H10" s="63" t="s">
        <v>88</v>
      </c>
      <c r="I10" s="23" t="s">
        <v>85</v>
      </c>
      <c r="K10" s="73"/>
    </row>
    <row r="11" spans="1:11" ht="15" customHeight="1">
      <c r="B11" s="5" t="s">
        <v>89</v>
      </c>
      <c r="C11" s="64">
        <v>1187110</v>
      </c>
      <c r="D11" s="65">
        <v>1</v>
      </c>
      <c r="E11" s="27">
        <f t="shared" ref="E11:E21" si="0">C11*D11</f>
        <v>1187110</v>
      </c>
      <c r="F11" s="6"/>
      <c r="G11" s="6"/>
      <c r="H11" s="5" t="s">
        <v>90</v>
      </c>
      <c r="I11" s="64">
        <v>1320277</v>
      </c>
      <c r="J11" s="6"/>
      <c r="K11" s="73"/>
    </row>
    <row r="12" spans="1:11" ht="14">
      <c r="B12" s="3" t="s">
        <v>91</v>
      </c>
      <c r="C12" s="64">
        <v>160383</v>
      </c>
      <c r="D12" s="65">
        <v>1</v>
      </c>
      <c r="E12" s="27">
        <f t="shared" si="0"/>
        <v>160383</v>
      </c>
      <c r="F12" s="6"/>
      <c r="G12" s="6"/>
      <c r="H12" s="5" t="s">
        <v>92</v>
      </c>
      <c r="I12" s="64">
        <v>25808</v>
      </c>
      <c r="J12" s="6"/>
      <c r="K12" s="73"/>
    </row>
    <row r="13" spans="1:11" ht="14">
      <c r="B13" s="5" t="s">
        <v>93</v>
      </c>
      <c r="C13" s="64">
        <v>0</v>
      </c>
      <c r="D13" s="65">
        <v>1</v>
      </c>
      <c r="E13" s="27">
        <f>C13*D13</f>
        <v>0</v>
      </c>
      <c r="F13" s="6"/>
      <c r="G13" s="6"/>
      <c r="H13" s="5" t="s">
        <v>94</v>
      </c>
      <c r="I13" s="64">
        <v>0</v>
      </c>
      <c r="J13" s="6"/>
      <c r="K13" s="76"/>
    </row>
    <row r="14" spans="1:11" ht="14">
      <c r="B14" s="5" t="s">
        <v>95</v>
      </c>
      <c r="C14" s="64">
        <v>0</v>
      </c>
      <c r="D14" s="65">
        <v>0.85</v>
      </c>
      <c r="E14" s="27">
        <f t="shared" si="0"/>
        <v>0</v>
      </c>
      <c r="F14" s="6"/>
      <c r="G14" s="6"/>
      <c r="H14" s="3" t="s">
        <v>96</v>
      </c>
      <c r="I14" s="64">
        <v>0</v>
      </c>
      <c r="J14" s="6"/>
      <c r="K14" s="78"/>
    </row>
    <row r="15" spans="1:11" ht="14">
      <c r="B15" s="5" t="s">
        <v>97</v>
      </c>
      <c r="C15" s="64">
        <v>0</v>
      </c>
      <c r="D15" s="65">
        <v>0.3</v>
      </c>
      <c r="E15" s="27">
        <f t="shared" si="0"/>
        <v>0</v>
      </c>
      <c r="G15" s="6"/>
      <c r="H15" s="5" t="s">
        <v>98</v>
      </c>
      <c r="I15" s="152">
        <f>I26-SUM(I11:I14)</f>
        <v>844880</v>
      </c>
      <c r="J15" s="6"/>
    </row>
    <row r="16" spans="1:11" ht="14">
      <c r="B16" s="3" t="s">
        <v>96</v>
      </c>
      <c r="C16" s="64">
        <v>276</v>
      </c>
      <c r="D16" s="65">
        <v>0.6</v>
      </c>
      <c r="E16" s="27">
        <f t="shared" si="0"/>
        <v>165.6</v>
      </c>
      <c r="F16" s="201" t="s">
        <v>228</v>
      </c>
      <c r="G16" s="92">
        <f>IF(F16="Y",0,1)</f>
        <v>0</v>
      </c>
      <c r="H16" s="5"/>
      <c r="I16" s="151"/>
      <c r="J16" s="6"/>
    </row>
    <row r="17" spans="2:10" ht="14">
      <c r="B17" s="5" t="s">
        <v>99</v>
      </c>
      <c r="C17" s="64">
        <f>827693+91987+938</f>
        <v>920618</v>
      </c>
      <c r="D17" s="65">
        <v>0.6</v>
      </c>
      <c r="E17" s="27">
        <f t="shared" si="0"/>
        <v>552370.79999999993</v>
      </c>
      <c r="F17" s="6"/>
      <c r="G17" s="6"/>
      <c r="H17" s="5"/>
      <c r="I17" s="151"/>
      <c r="J17" s="6"/>
    </row>
    <row r="18" spans="2:10" ht="14">
      <c r="B18" s="5" t="s">
        <v>100</v>
      </c>
      <c r="C18" s="64">
        <v>964821</v>
      </c>
      <c r="D18" s="65">
        <v>0.2</v>
      </c>
      <c r="E18" s="27">
        <f t="shared" si="0"/>
        <v>192964.2</v>
      </c>
      <c r="G18" s="6"/>
    </row>
    <row r="19" spans="2:10" ht="14">
      <c r="B19" s="3" t="s">
        <v>101</v>
      </c>
      <c r="C19" s="64">
        <v>0</v>
      </c>
      <c r="D19" s="65">
        <v>0.75</v>
      </c>
      <c r="E19" s="27">
        <f t="shared" si="0"/>
        <v>0</v>
      </c>
      <c r="F19" s="201" t="s">
        <v>228</v>
      </c>
      <c r="G19" s="92">
        <f>IF(F19="Y",0,1)</f>
        <v>0</v>
      </c>
      <c r="H19" s="5"/>
      <c r="I19" s="151"/>
    </row>
    <row r="20" spans="2:10" ht="14">
      <c r="B20" s="5" t="s">
        <v>102</v>
      </c>
      <c r="C20" s="64">
        <v>0</v>
      </c>
      <c r="D20" s="65">
        <v>0.6</v>
      </c>
      <c r="E20" s="27">
        <f t="shared" si="0"/>
        <v>0</v>
      </c>
      <c r="F20" s="201" t="s">
        <v>228</v>
      </c>
      <c r="G20" s="92">
        <f>IF(F20="Y",0,1)</f>
        <v>0</v>
      </c>
      <c r="H20" s="5"/>
      <c r="I20" s="151"/>
    </row>
    <row r="21" spans="2:10" ht="14">
      <c r="B21" s="5" t="s">
        <v>103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1"/>
    </row>
    <row r="22" spans="2:10" ht="15" customHeight="1">
      <c r="B22" s="5" t="s">
        <v>104</v>
      </c>
      <c r="C22" s="64">
        <v>0</v>
      </c>
      <c r="D22" s="65">
        <v>0.2</v>
      </c>
      <c r="E22" s="27">
        <f t="shared" ref="E22" si="1">C22*D22</f>
        <v>0</v>
      </c>
    </row>
    <row r="23" spans="2:10" ht="15" customHeight="1">
      <c r="C23" s="6"/>
      <c r="D23" s="6"/>
      <c r="E23" s="6"/>
      <c r="F23" s="6"/>
      <c r="G23" s="6"/>
    </row>
    <row r="24" spans="2:10" ht="15" customHeight="1">
      <c r="B24" s="66" t="s">
        <v>105</v>
      </c>
      <c r="C24" s="70">
        <f>SUM(C11:C14)</f>
        <v>1347493</v>
      </c>
      <c r="D24" s="68">
        <f>IF(E24=0,0,E24/C24)</f>
        <v>1</v>
      </c>
      <c r="E24" s="27">
        <f>SUM(E11:E14)</f>
        <v>1347493</v>
      </c>
      <c r="F24" s="6"/>
      <c r="G24" s="6"/>
      <c r="H24" s="66" t="s">
        <v>290</v>
      </c>
      <c r="I24" s="69">
        <f>E24/($I$26-I15)</f>
        <v>1.0010459963523848</v>
      </c>
      <c r="J24" s="13" t="str">
        <f>IF(I24&lt;1,"Liquidity Problem!","")</f>
        <v/>
      </c>
    </row>
    <row r="25" spans="2:10" ht="15" customHeight="1">
      <c r="B25" s="66" t="s">
        <v>106</v>
      </c>
      <c r="C25" s="70">
        <f>C24+SUM(C15:C17)</f>
        <v>2268387</v>
      </c>
      <c r="D25" s="68">
        <f>IF(E25=0,0,E25/C25)</f>
        <v>0.83761254142260555</v>
      </c>
      <c r="E25" s="27">
        <f>E24+SUM(E15:E17)</f>
        <v>1900029.4</v>
      </c>
      <c r="F25" s="6"/>
      <c r="G25" s="6"/>
      <c r="H25" s="66" t="s">
        <v>294</v>
      </c>
      <c r="I25" s="69">
        <f>E25/$I$26</f>
        <v>0.86721120602109114</v>
      </c>
      <c r="J25" s="13" t="str">
        <f>IF(OR(I25&lt;0.75,C26&lt;I26),"Liquidity Problem!","")</f>
        <v/>
      </c>
    </row>
    <row r="26" spans="2:10" ht="15" customHeight="1">
      <c r="B26" s="5" t="s">
        <v>107</v>
      </c>
      <c r="C26" s="70">
        <f>SUM(C11:C22)</f>
        <v>3233208</v>
      </c>
      <c r="D26" s="14">
        <f t="shared" ref="D26" si="2">E26/C26</f>
        <v>0.64734270111913617</v>
      </c>
      <c r="E26" s="27">
        <f>SUM(E11:E22)</f>
        <v>2092993.5999999999</v>
      </c>
      <c r="H26" s="5" t="s">
        <v>56</v>
      </c>
      <c r="I26" s="64">
        <v>2190965</v>
      </c>
      <c r="J26" s="105">
        <f>IF(J24="",1,0)+IF(J25="",1,0)+IF(J44="",1,0)+IF(J45="",1,0)</f>
        <v>3</v>
      </c>
    </row>
    <row r="27" spans="2:10" ht="15" customHeight="1">
      <c r="C27" s="6"/>
      <c r="D27" s="6"/>
      <c r="E27" s="6"/>
      <c r="F27" s="30" t="s">
        <v>227</v>
      </c>
      <c r="G27" s="6"/>
      <c r="I27" s="6"/>
      <c r="J27" s="6"/>
    </row>
    <row r="28" spans="2:10" ht="15" customHeight="1">
      <c r="B28" s="5" t="s">
        <v>108</v>
      </c>
      <c r="C28" s="64">
        <v>0</v>
      </c>
      <c r="D28" s="65">
        <v>0.95</v>
      </c>
      <c r="E28" s="27">
        <v>0</v>
      </c>
      <c r="F28" s="6"/>
      <c r="G28" s="6"/>
      <c r="H28" s="5" t="s">
        <v>109</v>
      </c>
      <c r="I28" s="64">
        <v>126576</v>
      </c>
      <c r="J28" s="6"/>
    </row>
    <row r="29" spans="2:10" ht="15" customHeight="1">
      <c r="B29" s="5" t="s">
        <v>110</v>
      </c>
      <c r="C29" s="64">
        <v>0</v>
      </c>
      <c r="D29" s="65">
        <v>0.5</v>
      </c>
      <c r="E29" s="27">
        <f t="shared" ref="E29:E40" si="3">C29*D29</f>
        <v>0</v>
      </c>
      <c r="F29" s="6"/>
      <c r="G29" s="6"/>
      <c r="H29" s="5" t="s">
        <v>111</v>
      </c>
      <c r="I29" s="64">
        <v>7502</v>
      </c>
      <c r="J29" s="6"/>
    </row>
    <row r="30" spans="2:10" ht="15" customHeight="1">
      <c r="B30" s="5" t="s">
        <v>112</v>
      </c>
      <c r="C30" s="64">
        <v>0</v>
      </c>
      <c r="D30" s="65">
        <v>0.6</v>
      </c>
      <c r="E30" s="27">
        <f t="shared" si="3"/>
        <v>0</v>
      </c>
      <c r="F30" s="6"/>
      <c r="G30" s="6"/>
      <c r="H30" s="5" t="s">
        <v>114</v>
      </c>
      <c r="I30" s="64">
        <v>0</v>
      </c>
      <c r="J30" s="6"/>
    </row>
    <row r="31" spans="2:10" ht="14">
      <c r="B31" s="3" t="s">
        <v>113</v>
      </c>
      <c r="C31" s="64">
        <v>427</v>
      </c>
      <c r="D31" s="65">
        <v>0.5</v>
      </c>
      <c r="E31" s="27">
        <f t="shared" si="3"/>
        <v>213.5</v>
      </c>
      <c r="F31" s="201" t="s">
        <v>228</v>
      </c>
      <c r="G31" s="92">
        <f>IF(F31="Y",0,1)</f>
        <v>0</v>
      </c>
      <c r="H31" s="3" t="s">
        <v>113</v>
      </c>
      <c r="I31" s="64">
        <v>0</v>
      </c>
      <c r="J31" s="6"/>
    </row>
    <row r="32" spans="2:10" ht="14">
      <c r="B32" s="5" t="s">
        <v>115</v>
      </c>
      <c r="C32" s="64">
        <v>0</v>
      </c>
      <c r="D32" s="65">
        <v>0.4</v>
      </c>
      <c r="E32" s="27">
        <f t="shared" si="3"/>
        <v>0</v>
      </c>
      <c r="G32" s="6"/>
      <c r="H32" s="5" t="s">
        <v>116</v>
      </c>
      <c r="I32" s="152">
        <f>I42-SUM(I28:I31)</f>
        <v>115697</v>
      </c>
      <c r="J32" s="6"/>
    </row>
    <row r="33" spans="2:10" ht="14">
      <c r="B33" s="5" t="s">
        <v>117</v>
      </c>
      <c r="C33" s="64">
        <v>315869</v>
      </c>
      <c r="D33" s="65">
        <v>0.6</v>
      </c>
      <c r="E33" s="214">
        <f t="shared" si="3"/>
        <v>189521.4</v>
      </c>
      <c r="F33" s="201" t="s">
        <v>229</v>
      </c>
      <c r="G33" s="92">
        <f>IF(F33="Y",0,1)</f>
        <v>1</v>
      </c>
      <c r="J33" s="6"/>
    </row>
    <row r="34" spans="2:10" ht="14">
      <c r="B34" s="5" t="s">
        <v>118</v>
      </c>
      <c r="C34" s="64">
        <v>0</v>
      </c>
      <c r="D34" s="65">
        <v>0.7</v>
      </c>
      <c r="E34" s="214">
        <f t="shared" si="3"/>
        <v>0</v>
      </c>
      <c r="F34" s="201" t="s">
        <v>228</v>
      </c>
      <c r="G34" s="92">
        <f>IF(F34="Y",0,1)</f>
        <v>0</v>
      </c>
    </row>
    <row r="35" spans="2:10" ht="14">
      <c r="B35" s="3" t="s">
        <v>102</v>
      </c>
      <c r="C35" s="64">
        <v>0</v>
      </c>
      <c r="D35" s="65">
        <v>0.4</v>
      </c>
      <c r="E35" s="27">
        <f t="shared" si="3"/>
        <v>0</v>
      </c>
      <c r="F35" s="201" t="s">
        <v>228</v>
      </c>
      <c r="G35" s="92">
        <f>IF(F35="Y",0,1)</f>
        <v>0</v>
      </c>
    </row>
    <row r="36" spans="2:10" ht="15" customHeight="1">
      <c r="B36" s="5" t="s">
        <v>281</v>
      </c>
      <c r="C36" s="64">
        <f>1544648+178805+236728</f>
        <v>1960181</v>
      </c>
      <c r="D36" s="65">
        <v>0.4</v>
      </c>
      <c r="E36" s="27">
        <f t="shared" si="3"/>
        <v>784072.4</v>
      </c>
      <c r="F36" s="6"/>
      <c r="G36" s="6"/>
    </row>
    <row r="37" spans="2:10" ht="14">
      <c r="B37" s="5" t="s">
        <v>282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>
      <c r="B38" s="5" t="s">
        <v>119</v>
      </c>
      <c r="C38" s="64">
        <v>0</v>
      </c>
      <c r="D38" s="65">
        <v>0.4</v>
      </c>
      <c r="E38" s="27">
        <f t="shared" si="3"/>
        <v>0</v>
      </c>
      <c r="F38" s="6"/>
      <c r="G38" s="6"/>
    </row>
    <row r="39" spans="2:10" ht="15" customHeight="1">
      <c r="B39" s="5" t="s">
        <v>120</v>
      </c>
      <c r="C39" s="64">
        <v>19632</v>
      </c>
      <c r="D39" s="65">
        <v>0.95</v>
      </c>
      <c r="E39" s="27">
        <f t="shared" si="3"/>
        <v>18650.399999999998</v>
      </c>
      <c r="F39" s="6"/>
      <c r="G39" s="6"/>
    </row>
    <row r="40" spans="2:10" ht="15" customHeight="1">
      <c r="B40" s="5" t="s">
        <v>121</v>
      </c>
      <c r="C40" s="64">
        <v>0</v>
      </c>
      <c r="D40" s="65">
        <v>0.1</v>
      </c>
      <c r="E40" s="27">
        <f t="shared" si="3"/>
        <v>0</v>
      </c>
      <c r="F40" s="6"/>
      <c r="G40" s="6"/>
    </row>
    <row r="41" spans="2:10" ht="15" customHeight="1">
      <c r="C41" s="6"/>
      <c r="D41" s="6"/>
      <c r="E41" s="6"/>
      <c r="I41" s="6"/>
    </row>
    <row r="42" spans="2:10" ht="14">
      <c r="B42" s="5" t="s">
        <v>122</v>
      </c>
      <c r="C42" s="67">
        <f>SUM(C28:C40)</f>
        <v>2296109</v>
      </c>
      <c r="D42" s="14">
        <f>E42/C42</f>
        <v>0.43223457597178533</v>
      </c>
      <c r="E42" s="27">
        <f>SUM(E28:E40)</f>
        <v>992457.70000000007</v>
      </c>
      <c r="F42" s="6"/>
      <c r="G42" s="6"/>
      <c r="H42" s="5" t="s">
        <v>123</v>
      </c>
      <c r="I42" s="64">
        <v>249775</v>
      </c>
      <c r="J42" s="6"/>
    </row>
    <row r="43" spans="2:10" ht="15" customHeight="1">
      <c r="C43" s="6"/>
      <c r="D43" s="6"/>
      <c r="E43" s="6"/>
      <c r="I43" s="6"/>
    </row>
    <row r="44" spans="2:10" ht="15" customHeight="1">
      <c r="B44" s="66" t="s">
        <v>124</v>
      </c>
      <c r="C44" s="70">
        <f>C24+SUM(C28:C29)</f>
        <v>1347493</v>
      </c>
      <c r="D44" s="68">
        <f>IF(E44=0,0,E44/C44)</f>
        <v>1</v>
      </c>
      <c r="E44" s="27">
        <f>E24+SUM(E28:E29)</f>
        <v>1347493</v>
      </c>
      <c r="F44" s="6"/>
      <c r="G44" s="6"/>
      <c r="H44" s="66" t="s">
        <v>291</v>
      </c>
      <c r="I44" s="69">
        <f>E44/(I46-I15-I32)</f>
        <v>0.91036797974277162</v>
      </c>
      <c r="J44" s="13" t="str">
        <f>IF(I44&lt;1,"Liquidity Problem!","")</f>
        <v>Liquidity Problem!</v>
      </c>
    </row>
    <row r="45" spans="2:10" ht="15" customHeight="1">
      <c r="B45" s="66" t="s">
        <v>125</v>
      </c>
      <c r="C45" s="70">
        <f>C44+(C25-C24)+SUM(C30:C33)</f>
        <v>2584683</v>
      </c>
      <c r="D45" s="68">
        <f>IF(E45=0,0,E45/C45)</f>
        <v>0.80851860750428572</v>
      </c>
      <c r="E45" s="27">
        <f>E44+(E25-E24)+SUM(E30:E33)</f>
        <v>2089764.2999999998</v>
      </c>
      <c r="F45" s="6"/>
      <c r="G45" s="6"/>
      <c r="H45" s="66" t="s">
        <v>295</v>
      </c>
      <c r="I45" s="69">
        <f>E45/$I$46</f>
        <v>0.85620111113842512</v>
      </c>
      <c r="J45" s="13" t="str">
        <f>IF(OR(I45&lt;0.5,C46&lt;I46),"Liquidity Problem!","")</f>
        <v/>
      </c>
    </row>
    <row r="46" spans="2:10" ht="15" customHeight="1">
      <c r="B46" s="5" t="s">
        <v>126</v>
      </c>
      <c r="C46" s="70">
        <f>C26+C42</f>
        <v>5529317</v>
      </c>
      <c r="D46" s="14">
        <f>E46/C46</f>
        <v>0.55801671345665294</v>
      </c>
      <c r="E46" s="27">
        <f>E26+E42</f>
        <v>3085451.3</v>
      </c>
      <c r="F46" s="6"/>
      <c r="G46" s="6"/>
      <c r="H46" s="5" t="s">
        <v>292</v>
      </c>
      <c r="I46" s="152">
        <f>I26+I42</f>
        <v>2440740</v>
      </c>
      <c r="J46" s="6"/>
    </row>
    <row r="47" spans="2:10" ht="15" customHeight="1">
      <c r="C47" s="6"/>
      <c r="D47" s="6"/>
      <c r="E47" s="6"/>
      <c r="I47" s="6"/>
    </row>
    <row r="48" spans="2:10" ht="14">
      <c r="B48" s="21" t="s">
        <v>127</v>
      </c>
      <c r="C48" s="21"/>
      <c r="D48" s="52"/>
    </row>
    <row r="49" spans="2:9" ht="14">
      <c r="B49" s="210" t="s">
        <v>202</v>
      </c>
      <c r="C49" s="6"/>
      <c r="D49" s="211" t="str">
        <f>IF(E50=D4,"BV of the MI","P/B Approach")</f>
        <v>BV of the MI</v>
      </c>
      <c r="E49" s="6"/>
    </row>
    <row r="50" spans="2:9" ht="14">
      <c r="B50" s="5" t="s">
        <v>201</v>
      </c>
      <c r="C50" s="212">
        <f>D4</f>
        <v>13713</v>
      </c>
      <c r="D50" s="208">
        <f>IF(E50=0, 0,E50/C50)</f>
        <v>1</v>
      </c>
      <c r="E50" s="212">
        <f>MAX(C50,C50*Dashboard!I10)</f>
        <v>13713</v>
      </c>
      <c r="I50" s="154"/>
    </row>
    <row r="51" spans="2:9" ht="15" customHeight="1">
      <c r="C51" s="6"/>
      <c r="D51" s="6"/>
      <c r="E51" s="6"/>
    </row>
    <row r="52" spans="2:9" ht="14.5" thickBot="1">
      <c r="B52" s="74" t="s">
        <v>249</v>
      </c>
      <c r="C52" s="5"/>
      <c r="D52" s="454">
        <f>D53+D54+D55</f>
        <v>1480163</v>
      </c>
      <c r="E52" s="455"/>
      <c r="F52" s="53"/>
      <c r="G52" s="53"/>
    </row>
    <row r="53" spans="2:9" ht="14.5" thickTop="1">
      <c r="B53" s="58" t="s">
        <v>222</v>
      </c>
      <c r="C53" s="6"/>
      <c r="D53" s="457">
        <f>SUM(I11:I13)+SUM(I28:I30)</f>
        <v>1480163</v>
      </c>
      <c r="E53" s="450"/>
      <c r="F53" s="5"/>
      <c r="G53" s="5"/>
      <c r="H53" s="3" t="s">
        <v>293</v>
      </c>
      <c r="I53" s="14">
        <f>D53/I3</f>
        <v>0.48137511122443138</v>
      </c>
    </row>
    <row r="54" spans="2:9" ht="14">
      <c r="B54" s="58" t="s">
        <v>129</v>
      </c>
      <c r="C54" s="6"/>
      <c r="D54" s="464">
        <v>0</v>
      </c>
      <c r="E54" s="411"/>
      <c r="F54" s="6" t="s">
        <v>130</v>
      </c>
      <c r="G54" s="6"/>
    </row>
    <row r="55" spans="2:9" ht="12.75" customHeight="1">
      <c r="B55" s="58" t="s">
        <v>128</v>
      </c>
      <c r="C55" s="6"/>
      <c r="D55" s="464">
        <v>0</v>
      </c>
      <c r="E55" s="411"/>
      <c r="F55" s="5" t="s">
        <v>131</v>
      </c>
      <c r="G55" s="5"/>
    </row>
    <row r="56" spans="2:9" ht="15" customHeight="1">
      <c r="D56" s="6"/>
      <c r="E56" s="6"/>
    </row>
    <row r="57" spans="2:9" ht="14">
      <c r="B57" s="74" t="s">
        <v>132</v>
      </c>
      <c r="C57" s="5"/>
      <c r="D57" s="456"/>
      <c r="E57" s="456"/>
      <c r="F57" s="19"/>
      <c r="G57" s="19"/>
    </row>
    <row r="58" spans="2:9" ht="15" customHeight="1">
      <c r="B58" s="53" t="s">
        <v>223</v>
      </c>
      <c r="C58" s="207">
        <f>C14+C15+(C19*G19)+(C20*G20)+C29+C30+(C31*G31)+(C33*G33)+(C34*G34)+(C35*G35)</f>
        <v>315869</v>
      </c>
      <c r="D58" s="126">
        <f>IF(E58=0,0,E58/C58)</f>
        <v>0.6</v>
      </c>
      <c r="E58" s="215">
        <f>E14+E15+(E19*G19)+(E20*G20)+E29+E30+(E31*G31)+(E33*G33)+(E34*G34)+(E35*G35)</f>
        <v>189521.4</v>
      </c>
      <c r="H58" s="6"/>
    </row>
    <row r="59" spans="2:9" ht="14">
      <c r="B59" s="53" t="s">
        <v>89</v>
      </c>
      <c r="C59" s="207">
        <f>C11+C12+C28</f>
        <v>1347493</v>
      </c>
      <c r="D59" s="208">
        <f>IF(E59=0,0,E59/C59)</f>
        <v>1</v>
      </c>
      <c r="E59" s="209">
        <f>E11+E12+E28</f>
        <v>1347493</v>
      </c>
      <c r="F59" s="6"/>
      <c r="G59" s="6"/>
    </row>
    <row r="60" spans="2:9" ht="14">
      <c r="B60" s="53" t="s">
        <v>133</v>
      </c>
      <c r="C60" s="6"/>
      <c r="D60" s="462">
        <f>((Dashboard!I6*Data!C4)+D52+E50-C58-C59)</f>
        <v>2569308.4064000007</v>
      </c>
      <c r="E60" s="463"/>
      <c r="F60" s="6"/>
      <c r="G60" s="6"/>
    </row>
    <row r="61" spans="2:9" ht="15" customHeight="1">
      <c r="D61" s="6"/>
      <c r="E61" s="6"/>
    </row>
    <row r="62" spans="2:9" ht="15" customHeight="1">
      <c r="B62" s="271" t="s">
        <v>248</v>
      </c>
    </row>
    <row r="63" spans="2:9" ht="15" customHeight="1">
      <c r="B63" s="3" t="s">
        <v>251</v>
      </c>
      <c r="D63" s="460">
        <f>((C26-C11-C12-C14-C15-C16*G16-C19*G19-C20*G20)-I26)/Data!C7</f>
        <v>-6.0822099592825682E-2</v>
      </c>
      <c r="E63" s="461"/>
    </row>
    <row r="64" spans="2:9" ht="15" customHeight="1">
      <c r="B64" s="3" t="s">
        <v>250</v>
      </c>
      <c r="D64" s="458">
        <v>8.5599999999999996E-2</v>
      </c>
      <c r="E64" s="459"/>
      <c r="F64" s="250" t="s">
        <v>236</v>
      </c>
    </row>
    <row r="65" spans="2:5" ht="15" customHeight="1">
      <c r="B65" s="271" t="s">
        <v>252</v>
      </c>
      <c r="D65" s="458">
        <v>8.5599999999999996E-2</v>
      </c>
      <c r="E65" s="459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phoneticPr fontId="31" type="noConversion"/>
  <dataValidations count="3">
    <dataValidation allowBlank="1" sqref="D49" xr:uid="{00000000-0002-0000-0200-000000000000}"/>
    <dataValidation type="list" allowBlank="1" showInputMessage="1" showErrorMessage="1" sqref="F33:F35 F19:F20 F16 F31" xr:uid="{DBDA56F9-BDA2-428A-9035-F60711F90E5E}">
      <formula1>"Y,N"</formula1>
    </dataValidation>
    <dataValidation type="list" allowBlank="1" showInputMessage="1" showErrorMessage="1" sqref="E9" xr:uid="{147BCDA5-0590-46F5-AA62-0B27DE6FA745}">
      <formula1>"FY, Quarter"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8"/>
  <sheetViews>
    <sheetView showGridLines="0" zoomScaleNormal="100" zoomScalePageLayoutView="80" workbookViewId="0">
      <selection activeCell="G17" sqref="G17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>
      <c r="C1" s="6"/>
      <c r="D1" s="6"/>
      <c r="E1" s="6"/>
      <c r="F1" s="6"/>
      <c r="G1" s="6"/>
      <c r="H1" s="6"/>
    </row>
    <row r="2" spans="1:13" ht="15.5" customHeight="1">
      <c r="A2" s="4"/>
      <c r="B2" s="90" t="s">
        <v>233</v>
      </c>
      <c r="C2" s="265" t="s">
        <v>246</v>
      </c>
      <c r="D2" s="265"/>
      <c r="E2" s="265">
        <v>1</v>
      </c>
      <c r="F2" s="265"/>
      <c r="G2" s="265">
        <v>2</v>
      </c>
      <c r="H2" s="12"/>
      <c r="I2" s="265">
        <v>3</v>
      </c>
      <c r="J2" s="265"/>
      <c r="K2" s="12"/>
      <c r="L2" s="12"/>
    </row>
    <row r="3" spans="1:13" ht="15.75" customHeight="1">
      <c r="B3" s="29" t="str">
        <f>'FCFF Model'!B3</f>
        <v>(Numbers in 1000HKD)</v>
      </c>
      <c r="C3" s="261">
        <f>Dashboard!E6</f>
        <v>45016</v>
      </c>
      <c r="D3" s="28" t="s">
        <v>235</v>
      </c>
      <c r="E3" s="261">
        <f>EOMONTH(EDATE(C3,12),0)</f>
        <v>45382</v>
      </c>
      <c r="F3" s="28" t="s">
        <v>235</v>
      </c>
      <c r="G3" s="261">
        <f>IF(G14="","",EOMONTH(EDATE(E3,12),0))</f>
        <v>45747</v>
      </c>
      <c r="H3" s="28"/>
      <c r="I3" s="261" t="str">
        <f>IF(I21="","",EOMONTH(EDATE(G3,12),0))</f>
        <v/>
      </c>
      <c r="J3" s="276"/>
      <c r="L3" s="71" t="s">
        <v>134</v>
      </c>
    </row>
    <row r="4" spans="1:13" ht="15.75" customHeight="1">
      <c r="B4" s="272" t="s">
        <v>333</v>
      </c>
      <c r="C4" s="273">
        <v>2326189</v>
      </c>
      <c r="D4" s="244">
        <f>C4/$C$13</f>
        <v>0.46350106152247528</v>
      </c>
      <c r="E4" s="273"/>
      <c r="F4" s="244"/>
      <c r="G4" s="216"/>
      <c r="H4" s="244"/>
      <c r="I4" s="216"/>
      <c r="J4" s="266"/>
      <c r="K4" s="6"/>
      <c r="L4" s="73"/>
      <c r="M4" s="57"/>
    </row>
    <row r="5" spans="1:13" ht="15.75" customHeight="1">
      <c r="B5" s="272" t="s">
        <v>334</v>
      </c>
      <c r="C5" s="273">
        <v>1214692</v>
      </c>
      <c r="D5" s="244">
        <f t="shared" ref="D5:D11" si="0">C5/$C$13</f>
        <v>0.24203150793974976</v>
      </c>
      <c r="E5" s="273"/>
      <c r="F5" s="244"/>
      <c r="G5" s="216"/>
      <c r="H5" s="244"/>
      <c r="I5" s="216"/>
      <c r="J5" s="266"/>
      <c r="K5" s="6"/>
      <c r="L5" s="73"/>
      <c r="M5" s="57"/>
    </row>
    <row r="6" spans="1:13" ht="15.75" customHeight="1">
      <c r="B6" s="272" t="s">
        <v>335</v>
      </c>
      <c r="C6" s="273">
        <v>332370</v>
      </c>
      <c r="D6" s="244">
        <f t="shared" si="0"/>
        <v>6.6225851733554372E-2</v>
      </c>
      <c r="E6" s="273"/>
      <c r="F6" s="244"/>
      <c r="G6" s="216"/>
      <c r="H6" s="244"/>
      <c r="I6" s="216"/>
      <c r="J6" s="266"/>
      <c r="K6" s="6"/>
      <c r="L6" s="73"/>
      <c r="M6" s="57"/>
    </row>
    <row r="7" spans="1:13" ht="15.75" customHeight="1">
      <c r="B7" s="272" t="s">
        <v>336</v>
      </c>
      <c r="C7" s="273">
        <v>203570</v>
      </c>
      <c r="D7" s="244">
        <f t="shared" si="0"/>
        <v>4.0562014133043486E-2</v>
      </c>
      <c r="E7" s="273"/>
      <c r="F7" s="244"/>
      <c r="G7" s="216"/>
      <c r="H7" s="244"/>
      <c r="I7" s="216"/>
      <c r="J7" s="266"/>
      <c r="K7" s="6"/>
      <c r="L7" s="73"/>
      <c r="M7" s="57"/>
    </row>
    <row r="8" spans="1:13" ht="15.75" customHeight="1">
      <c r="B8" s="272" t="s">
        <v>337</v>
      </c>
      <c r="C8" s="273">
        <v>195452</v>
      </c>
      <c r="D8" s="244">
        <f t="shared" si="0"/>
        <v>3.8944475051980232E-2</v>
      </c>
      <c r="E8" s="273"/>
      <c r="F8" s="244"/>
      <c r="G8" s="216"/>
      <c r="H8" s="244"/>
      <c r="I8" s="216"/>
      <c r="J8" s="266"/>
      <c r="K8" s="6"/>
      <c r="L8" s="73"/>
      <c r="M8" s="57"/>
    </row>
    <row r="9" spans="1:13" ht="15.75" customHeight="1">
      <c r="B9" s="272" t="s">
        <v>338</v>
      </c>
      <c r="C9" s="273">
        <v>194871</v>
      </c>
      <c r="D9" s="244">
        <f t="shared" si="0"/>
        <v>3.8828708828021405E-2</v>
      </c>
      <c r="E9" s="273"/>
      <c r="F9" s="244"/>
      <c r="G9" s="216"/>
      <c r="H9" s="244"/>
      <c r="I9" s="216"/>
      <c r="J9" s="266"/>
      <c r="K9" s="6"/>
      <c r="L9" s="73"/>
      <c r="M9" s="57"/>
    </row>
    <row r="10" spans="1:13" ht="15.75" customHeight="1">
      <c r="B10" s="272" t="s">
        <v>339</v>
      </c>
      <c r="C10" s="273">
        <v>156759</v>
      </c>
      <c r="D10" s="244">
        <f t="shared" si="0"/>
        <v>3.1234763341758433E-2</v>
      </c>
      <c r="E10" s="273"/>
      <c r="F10" s="244"/>
      <c r="G10" s="216"/>
      <c r="H10" s="244"/>
      <c r="I10" s="216"/>
      <c r="J10" s="266"/>
      <c r="K10" s="6"/>
      <c r="L10" s="73"/>
      <c r="M10" s="57"/>
    </row>
    <row r="11" spans="1:13" ht="15.75" customHeight="1">
      <c r="B11" s="272" t="s">
        <v>340</v>
      </c>
      <c r="C11" s="273">
        <v>92656</v>
      </c>
      <c r="D11" s="244">
        <f t="shared" si="0"/>
        <v>1.8462022800566278E-2</v>
      </c>
      <c r="E11" s="273"/>
      <c r="F11" s="244"/>
      <c r="G11" s="216"/>
      <c r="H11" s="244"/>
      <c r="I11" s="216"/>
      <c r="J11" s="266"/>
      <c r="K11" s="6"/>
      <c r="L11" s="73"/>
      <c r="M11" s="57"/>
    </row>
    <row r="12" spans="1:13" ht="15.75" customHeight="1">
      <c r="B12" s="272" t="s">
        <v>341</v>
      </c>
      <c r="C12" s="273">
        <f>C13-SUM(C4:C11)</f>
        <v>302176</v>
      </c>
      <c r="D12" s="244">
        <f t="shared" ref="D12" si="1">C12/$C$13</f>
        <v>6.0209594648850756E-2</v>
      </c>
      <c r="E12" s="273"/>
      <c r="F12" s="244"/>
      <c r="G12" s="216"/>
      <c r="H12" s="244"/>
      <c r="I12" s="216"/>
      <c r="J12" s="266"/>
      <c r="K12" s="6"/>
      <c r="L12" s="73"/>
      <c r="M12" s="57"/>
    </row>
    <row r="13" spans="1:13" ht="15.75" customHeight="1">
      <c r="B13" s="5" t="s">
        <v>136</v>
      </c>
      <c r="C13" s="177">
        <f>Data!C7</f>
        <v>5018735</v>
      </c>
      <c r="D13" s="243"/>
      <c r="E13" s="313">
        <f>C13*1.04</f>
        <v>5219484.4000000004</v>
      </c>
      <c r="F13" s="243"/>
      <c r="G13" s="313">
        <f>E13*(1+G14)</f>
        <v>5637043.1520000007</v>
      </c>
      <c r="H13" s="243"/>
      <c r="I13" s="222"/>
      <c r="J13" s="267"/>
      <c r="K13" s="6"/>
      <c r="L13" s="73"/>
      <c r="M13" s="57"/>
    </row>
    <row r="14" spans="1:13" ht="15.75" customHeight="1">
      <c r="B14" s="17" t="s">
        <v>135</v>
      </c>
      <c r="C14" s="184"/>
      <c r="D14" s="245"/>
      <c r="E14" s="18">
        <f>E13/C13-1</f>
        <v>4.0000000000000036E-2</v>
      </c>
      <c r="F14" s="245"/>
      <c r="G14" s="72">
        <v>0.08</v>
      </c>
      <c r="H14" s="245"/>
      <c r="I14" s="72"/>
      <c r="J14" s="303"/>
      <c r="K14" s="6"/>
      <c r="L14" s="73"/>
      <c r="M14" s="57"/>
    </row>
    <row r="15" spans="1:13" ht="15.75" customHeight="1">
      <c r="B15" s="8" t="s">
        <v>137</v>
      </c>
      <c r="C15" s="178">
        <f>Data!C9</f>
        <v>4528748</v>
      </c>
      <c r="D15" s="246"/>
      <c r="E15" s="221">
        <f>E13*(1-E16)</f>
        <v>4593146.2720000008</v>
      </c>
      <c r="F15" s="246"/>
      <c r="G15" s="264">
        <f>IF(G13="","",G13*(1-G16))</f>
        <v>4855748.9711328</v>
      </c>
      <c r="H15" s="246"/>
      <c r="I15" s="264" t="str">
        <f>IF(I13="","",I13*(1-I16))</f>
        <v/>
      </c>
      <c r="J15" s="304"/>
      <c r="K15" s="6"/>
      <c r="L15" s="114"/>
      <c r="M15" s="1"/>
    </row>
    <row r="16" spans="1:13" ht="15.75" customHeight="1">
      <c r="B16" s="17" t="s">
        <v>46</v>
      </c>
      <c r="C16" s="183">
        <f>(C13-C15)/C13</f>
        <v>9.7631574490384523E-2</v>
      </c>
      <c r="D16" s="183"/>
      <c r="E16" s="72">
        <v>0.12</v>
      </c>
      <c r="F16" s="183"/>
      <c r="G16" s="72">
        <v>0.1386</v>
      </c>
      <c r="H16" s="183"/>
      <c r="I16" s="72"/>
      <c r="J16" s="305"/>
      <c r="K16" s="6"/>
      <c r="L16" s="73"/>
    </row>
    <row r="17" spans="2:13" ht="15.75" customHeight="1">
      <c r="B17" s="5" t="s">
        <v>138</v>
      </c>
      <c r="C17" s="27">
        <f>C13-C15</f>
        <v>489987</v>
      </c>
      <c r="D17" s="27"/>
      <c r="E17" s="27">
        <f>E13-E15</f>
        <v>626338.12799999956</v>
      </c>
      <c r="F17" s="27"/>
      <c r="G17" s="27">
        <f>IF(G14="","",G13-G15)</f>
        <v>781294.18086720072</v>
      </c>
      <c r="H17" s="27"/>
      <c r="I17" s="27" t="str">
        <f>IF(I14="","",I13-I15)</f>
        <v/>
      </c>
      <c r="J17" s="230"/>
      <c r="K17" s="6"/>
      <c r="L17" s="73"/>
    </row>
    <row r="18" spans="2:13" ht="15.75" customHeight="1">
      <c r="B18" s="17" t="s">
        <v>48</v>
      </c>
      <c r="C18" s="186">
        <f>C19/C13</f>
        <v>4.0532325376813082E-2</v>
      </c>
      <c r="D18" s="186"/>
      <c r="E18" s="220">
        <v>0.05</v>
      </c>
      <c r="F18" s="186"/>
      <c r="G18" s="65">
        <f>E18</f>
        <v>0.05</v>
      </c>
      <c r="H18" s="186"/>
      <c r="I18" s="65"/>
      <c r="J18" s="306"/>
      <c r="K18" s="6"/>
      <c r="L18" s="73"/>
    </row>
    <row r="19" spans="2:13" ht="15.75" customHeight="1">
      <c r="B19" s="8" t="s">
        <v>139</v>
      </c>
      <c r="C19" s="180">
        <f>41285+162136</f>
        <v>203421</v>
      </c>
      <c r="D19" s="247"/>
      <c r="E19" s="75">
        <f>E13*E18</f>
        <v>260974.22000000003</v>
      </c>
      <c r="F19" s="247"/>
      <c r="G19" s="75">
        <f>G13*G18</f>
        <v>281852.15760000004</v>
      </c>
      <c r="H19" s="247"/>
      <c r="I19" s="75"/>
      <c r="J19" s="307"/>
      <c r="K19" s="6"/>
      <c r="L19" s="73"/>
    </row>
    <row r="20" spans="2:13" ht="15.75" customHeight="1">
      <c r="B20" s="17" t="s">
        <v>49</v>
      </c>
      <c r="C20" s="18">
        <f>C22/C13</f>
        <v>5.7099249113571449E-2</v>
      </c>
      <c r="D20" s="18"/>
      <c r="E20" s="18">
        <f>E22/E13</f>
        <v>6.999999999999991E-2</v>
      </c>
      <c r="F20" s="18"/>
      <c r="G20" s="18">
        <f>IF(G14="","",G22/G13)</f>
        <v>8.8600000000000109E-2</v>
      </c>
      <c r="H20" s="18"/>
      <c r="I20" s="18" t="str">
        <f>IF(I14="","",I22/I13)</f>
        <v/>
      </c>
      <c r="J20" s="223"/>
      <c r="K20" s="6"/>
      <c r="L20" s="73"/>
      <c r="M20" s="57"/>
    </row>
    <row r="21" spans="2:13" ht="15.75" customHeight="1">
      <c r="B21" s="17" t="s">
        <v>140</v>
      </c>
      <c r="C21" s="185"/>
      <c r="D21" s="248"/>
      <c r="E21" s="14">
        <f>IF(ABS(C22+E22)=ABS(C22)+ABS(E22),IF(E22&lt;0,-1,1)*(E22-C22)/C22,"Turn")</f>
        <v>0.2749729835360773</v>
      </c>
      <c r="F21" s="248"/>
      <c r="G21" s="14">
        <f>IF(G14="","",IF(ABS(E22+G22)=ABS(E22)+ABS(G22),IF(G22&lt;0,-1,1)*(G22-E22)/E22,"Turn"))</f>
        <v>0.36697142857143222</v>
      </c>
      <c r="H21" s="248"/>
      <c r="I21" s="14" t="str">
        <f>IF(I14="","",IF(ABS(G22+I22)=ABS(G22)+ABS(I22),IF(I22&lt;0,-1,1)*(I22-G22)/G22,"Turn"))</f>
        <v/>
      </c>
      <c r="J21" s="308"/>
      <c r="K21" s="6"/>
      <c r="L21" s="76"/>
      <c r="M21" s="77"/>
    </row>
    <row r="22" spans="2:13" ht="15.75" customHeight="1">
      <c r="B22" s="131" t="s">
        <v>232</v>
      </c>
      <c r="C22" s="295">
        <f>C17-C19</f>
        <v>286566</v>
      </c>
      <c r="D22" s="296"/>
      <c r="E22" s="295">
        <f>E17-E19</f>
        <v>365363.90799999953</v>
      </c>
      <c r="F22" s="296"/>
      <c r="G22" s="295">
        <f>IF(G14="","",G17-G19)</f>
        <v>499442.02326720068</v>
      </c>
      <c r="H22" s="296"/>
      <c r="I22" s="295" t="str">
        <f>IF(I14="","",I17-I19)</f>
        <v/>
      </c>
      <c r="J22" s="309"/>
      <c r="K22" s="6"/>
      <c r="L22" s="78"/>
      <c r="M22" s="56"/>
    </row>
    <row r="23" spans="2:13" ht="15.75" customHeight="1">
      <c r="B23" s="291" t="s">
        <v>141</v>
      </c>
      <c r="C23" s="292">
        <v>0.25</v>
      </c>
      <c r="D23" s="293"/>
      <c r="E23" s="294">
        <f>IF(E22="","",C23)</f>
        <v>0.25</v>
      </c>
      <c r="F23" s="294"/>
      <c r="G23" s="294">
        <f>IF(G22="","",E23)</f>
        <v>0.25</v>
      </c>
      <c r="H23" s="294"/>
      <c r="I23" s="294" t="str">
        <f>IF(I22="","",G23)</f>
        <v/>
      </c>
      <c r="J23" s="310"/>
      <c r="L23" s="73"/>
    </row>
    <row r="24" spans="2:13" ht="15.75" customHeight="1">
      <c r="B24" s="300" t="s">
        <v>284</v>
      </c>
      <c r="C24" s="248">
        <f>C25/C15</f>
        <v>4.7457818363927512E-2</v>
      </c>
      <c r="D24" s="302"/>
      <c r="E24" s="301">
        <f>E25/E15</f>
        <v>5.9659090909090821E-2</v>
      </c>
      <c r="F24" s="301"/>
      <c r="G24" s="301">
        <f>IF(G15="","",G25/G15)</f>
        <v>7.7141862084978044E-2</v>
      </c>
      <c r="H24" s="301"/>
      <c r="I24" s="301" t="str">
        <f>IF(I15="","",I25/I15)</f>
        <v/>
      </c>
      <c r="J24" s="311"/>
    </row>
    <row r="25" spans="2:13" ht="15.75" customHeight="1">
      <c r="B25" s="297" t="s">
        <v>78</v>
      </c>
      <c r="C25" s="298">
        <f>IF(C22&lt;=0,C22,C22*(1-C23))</f>
        <v>214924.5</v>
      </c>
      <c r="D25" s="298"/>
      <c r="E25" s="299">
        <f>IF(E22="","",IF(E22&lt;=0,E22,E22*(1-E23)))</f>
        <v>274022.93099999963</v>
      </c>
      <c r="F25" s="298"/>
      <c r="G25" s="299">
        <f>IF(G22="","",IF(G22&lt;=0,G22,G22*(1-G23)))</f>
        <v>374581.51745040051</v>
      </c>
      <c r="H25" s="298"/>
      <c r="I25" s="299" t="str">
        <f>IF(I22="","",IF(I22&lt;=0,I22,I22*(1-I23)))</f>
        <v/>
      </c>
      <c r="J25" s="312"/>
    </row>
    <row r="26" spans="2:13" ht="15.75" customHeight="1"/>
    <row r="27" spans="2:13" ht="15.75" customHeight="1"/>
    <row r="28" spans="2:13" ht="15.75" customHeight="1"/>
    <row r="29" spans="2:13" ht="15.75" customHeight="1"/>
    <row r="30" spans="2:13" ht="15.75" customHeight="1"/>
    <row r="31" spans="2:13" ht="15.75" customHeight="1"/>
    <row r="32" spans="2:1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</sheetData>
  <phoneticPr fontId="31" type="noConversion"/>
  <conditionalFormatting sqref="E23:E25">
    <cfRule type="containsBlanks" dxfId="6" priority="2">
      <formula>LEN(TRIM(E23))=0</formula>
    </cfRule>
  </conditionalFormatting>
  <conditionalFormatting sqref="G25 I25">
    <cfRule type="containsBlanks" dxfId="5" priority="4">
      <formula>LEN(TRIM(G25))=0</formula>
    </cfRule>
  </conditionalFormatting>
  <conditionalFormatting sqref="G14:H18 H19 G20:H22">
    <cfRule type="containsBlanks" dxfId="4" priority="10">
      <formula>LEN(TRIM(G14))=0</formula>
    </cfRule>
    <cfRule type="containsBlanks" priority="11">
      <formula>LEN(TRIM(G14))=0</formula>
    </cfRule>
  </conditionalFormatting>
  <conditionalFormatting sqref="G14:J25">
    <cfRule type="containsBlanks" dxfId="3" priority="1">
      <formula>LEN(TRIM(G14))=0</formula>
    </cfRule>
  </conditionalFormatting>
  <conditionalFormatting sqref="I14:J22">
    <cfRule type="containsBlanks" dxfId="2" priority="6">
      <formula>LEN(TRIM(I14))=0</formula>
    </cfRule>
    <cfRule type="containsBlanks" priority="7">
      <formula>LEN(TRIM(I14))=0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16"/>
  <sheetViews>
    <sheetView showGridLines="0" zoomScaleNormal="100" zoomScalePageLayoutView="80" workbookViewId="0">
      <selection activeCell="D24" sqref="D24"/>
    </sheetView>
  </sheetViews>
  <sheetFormatPr defaultColWidth="12.453125" defaultRowHeight="15" customHeight="1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>
      <c r="C1" s="6"/>
      <c r="D1" s="6"/>
      <c r="E1" s="6"/>
    </row>
    <row r="2" spans="1:10" ht="15.75" customHeight="1">
      <c r="A2" s="4"/>
      <c r="B2" s="90" t="s">
        <v>216</v>
      </c>
      <c r="C2" s="265" t="s">
        <v>246</v>
      </c>
      <c r="D2" s="265">
        <v>1</v>
      </c>
      <c r="E2" s="265">
        <v>2</v>
      </c>
      <c r="F2" s="265">
        <v>3</v>
      </c>
      <c r="G2" s="265" t="str">
        <f>B21</f>
        <v>TV after Year 2</v>
      </c>
      <c r="H2" s="12"/>
      <c r="I2" s="12"/>
    </row>
    <row r="3" spans="1:10" ht="15.75" customHeight="1">
      <c r="B3" s="29" t="str">
        <f>"(Numbers in "&amp;Data!C4&amp;Dashboard!I11&amp;")"</f>
        <v>(Numbers in 1000HKD)</v>
      </c>
      <c r="C3" s="261">
        <f>Operation!C3</f>
        <v>45016</v>
      </c>
      <c r="D3" s="261">
        <f>Operation!E3</f>
        <v>45382</v>
      </c>
      <c r="E3" s="261">
        <f>Operation!G3</f>
        <v>45747</v>
      </c>
      <c r="F3" s="261" t="str">
        <f>Operation!I3</f>
        <v/>
      </c>
      <c r="G3" s="28" t="s">
        <v>245</v>
      </c>
      <c r="I3" s="71" t="s">
        <v>134</v>
      </c>
    </row>
    <row r="4" spans="1:10" ht="15.75" customHeight="1">
      <c r="B4" s="5" t="s">
        <v>78</v>
      </c>
      <c r="C4" s="179">
        <f>Operation!C25</f>
        <v>214924.5</v>
      </c>
      <c r="D4" s="45">
        <f>Operation!E25</f>
        <v>274022.93099999963</v>
      </c>
      <c r="E4" s="45">
        <f>Operation!G25</f>
        <v>374581.51745040051</v>
      </c>
      <c r="F4" s="198" t="str">
        <f>Operation!I25</f>
        <v/>
      </c>
      <c r="G4" s="281">
        <f>IF(F3="",IF(E3="",1,2),3)</f>
        <v>2</v>
      </c>
      <c r="H4" s="6"/>
      <c r="I4" s="78"/>
      <c r="J4" s="56"/>
    </row>
    <row r="5" spans="1:10" ht="15.75" customHeight="1">
      <c r="B5" s="17" t="s">
        <v>257</v>
      </c>
      <c r="C5" s="241"/>
      <c r="D5" s="242">
        <f>D4/C4-1</f>
        <v>0.27497298353607724</v>
      </c>
      <c r="E5" s="242">
        <f>IF(E4="","",E4/D4-1)</f>
        <v>0.36697142857143228</v>
      </c>
      <c r="F5" s="242" t="str">
        <f>IF(F4="","",F4/E4-1)</f>
        <v/>
      </c>
      <c r="G5" s="195"/>
      <c r="H5" s="6"/>
      <c r="I5" s="78"/>
      <c r="J5" s="56"/>
    </row>
    <row r="6" spans="1:10" ht="15.75" customHeight="1">
      <c r="B6" s="17" t="s">
        <v>66</v>
      </c>
      <c r="C6" s="65">
        <f>Data!D35</f>
        <v>0.34231881247043383</v>
      </c>
      <c r="D6" s="220">
        <f>C6</f>
        <v>0.34231881247043383</v>
      </c>
      <c r="E6" s="65">
        <f>D6</f>
        <v>0.34231881247043383</v>
      </c>
      <c r="F6" s="285"/>
      <c r="G6" s="196"/>
      <c r="H6" s="6"/>
      <c r="I6" s="76"/>
    </row>
    <row r="7" spans="1:10" ht="15" customHeight="1" thickBot="1">
      <c r="B7" s="80" t="s">
        <v>253</v>
      </c>
      <c r="C7" s="286">
        <f>C4*C6</f>
        <v>73572.699610801763</v>
      </c>
      <c r="D7" s="286">
        <f>D6*D4</f>
        <v>93803.204329587505</v>
      </c>
      <c r="E7" s="287">
        <f>E4*E6</f>
        <v>128226.30022699419</v>
      </c>
      <c r="F7" s="287"/>
      <c r="G7" s="197"/>
      <c r="H7" s="81"/>
      <c r="I7" s="56"/>
      <c r="J7" s="56"/>
    </row>
    <row r="8" spans="1:10" ht="15.75" customHeight="1" thickTop="1">
      <c r="B8" s="17" t="s">
        <v>142</v>
      </c>
      <c r="C8" s="189">
        <f>IF(C4="","",C4-C7)</f>
        <v>141351.80038919824</v>
      </c>
      <c r="D8" s="188">
        <f>D4-D7</f>
        <v>180219.72667041211</v>
      </c>
      <c r="E8" s="188">
        <f>IF(E4="","",E4-E7)</f>
        <v>246355.2172234063</v>
      </c>
      <c r="F8" s="188" t="str">
        <f>IF(F4="","",F4-F7)</f>
        <v/>
      </c>
      <c r="H8" s="81"/>
      <c r="I8" s="56"/>
      <c r="J8" s="56"/>
    </row>
    <row r="9" spans="1:10" ht="15.75" customHeight="1">
      <c r="B9" s="200" t="s">
        <v>209</v>
      </c>
      <c r="C9" s="190">
        <f>C8/(Common_Shares/Data!$C$4)</f>
        <v>0.1006413661846365</v>
      </c>
      <c r="D9" s="283">
        <f>D8/(Common_Shares/Data!$C$4)</f>
        <v>0.12831502291157287</v>
      </c>
      <c r="E9" s="283">
        <f>IF(E8="","",E8/(Common_Shares/Data!$C$4))</f>
        <v>0.17540297017660883</v>
      </c>
      <c r="F9" s="283" t="str">
        <f>IF(F8="","",F8/(Common_Shares/Data!$C$4))</f>
        <v/>
      </c>
      <c r="G9" s="337">
        <f>IF(F4="",IF(E4="",D8,E8),F8)*Data!C$4/Dashboard!I5</f>
        <v>0.17540297017660883</v>
      </c>
      <c r="H9" s="81"/>
      <c r="I9" s="56"/>
      <c r="J9" s="56"/>
    </row>
    <row r="10" spans="1:10" ht="15.75" customHeight="1">
      <c r="B10" s="17" t="s">
        <v>143</v>
      </c>
      <c r="C10" s="187"/>
      <c r="D10" s="217">
        <f ca="1">Dashboard!C12</f>
        <v>9.6000000000000002E-2</v>
      </c>
      <c r="E10" s="18">
        <f ca="1">IF(E4="","",D10)</f>
        <v>9.6000000000000002E-2</v>
      </c>
      <c r="F10" s="18" t="str">
        <f>IF(F4="","",D10)</f>
        <v/>
      </c>
      <c r="G10" s="223">
        <f ca="1">Dashboard!C12</f>
        <v>9.6000000000000002E-2</v>
      </c>
      <c r="H10" s="62"/>
      <c r="I10" s="57"/>
      <c r="J10" s="57"/>
    </row>
    <row r="11" spans="1:10" ht="15.75" customHeight="1" thickBot="1">
      <c r="B11" s="82" t="s">
        <v>144</v>
      </c>
      <c r="C11" s="112"/>
      <c r="D11" s="218">
        <f ca="1">IF(D4="","",1+D10)</f>
        <v>1.0960000000000001</v>
      </c>
      <c r="E11" s="219">
        <f ca="1">IF(E4="","",(1+D10)*(1+E10))</f>
        <v>1.2012160000000003</v>
      </c>
      <c r="F11" s="219" t="str">
        <f>IF(F4="","",(1+D10)*(1+E10)*(1+F10))</f>
        <v/>
      </c>
      <c r="G11" s="224">
        <f ca="1">IF(F4="",IF(E4="",D11,E11),F11)*(1+G10)</f>
        <v>1.3165327360000003</v>
      </c>
      <c r="H11" s="62"/>
      <c r="I11" s="57"/>
      <c r="J11" s="57"/>
    </row>
    <row r="12" spans="1:10" ht="15.75" customHeight="1" thickTop="1">
      <c r="B12" s="8" t="s">
        <v>280</v>
      </c>
      <c r="C12" s="336"/>
      <c r="D12" s="192">
        <f ca="1">IF(D9="","",D9/D11)</f>
        <v>0.11707575083172707</v>
      </c>
      <c r="E12" s="193">
        <f ca="1">IF(E9="","",E9/E11)</f>
        <v>0.14602117369116693</v>
      </c>
      <c r="F12" s="193" t="str">
        <f>IF(F9="","",F9/F11)</f>
        <v/>
      </c>
      <c r="G12" s="338"/>
      <c r="H12" s="79"/>
      <c r="I12" s="56"/>
      <c r="J12" s="56"/>
    </row>
    <row r="13" spans="1:10" ht="15.75" customHeight="1">
      <c r="F13" s="6"/>
      <c r="G13" s="113"/>
    </row>
    <row r="14" spans="1:10" ht="15.75" customHeight="1">
      <c r="B14" s="350" t="s">
        <v>212</v>
      </c>
      <c r="C14" s="191" t="str">
        <f>B3</f>
        <v>(Numbers in 1000HKD)</v>
      </c>
      <c r="E14" s="71" t="s">
        <v>213</v>
      </c>
    </row>
    <row r="15" spans="1:10" ht="15.75" customHeight="1">
      <c r="B15" s="58" t="s">
        <v>226</v>
      </c>
      <c r="C15" s="83">
        <f>Asset_Model!E59</f>
        <v>1347493</v>
      </c>
      <c r="D15" s="213">
        <f>C15/(Dashboard!I5/Data!C4)</f>
        <v>0.95940438021189611</v>
      </c>
      <c r="E15" s="84" t="s">
        <v>224</v>
      </c>
      <c r="G15" s="134">
        <f>C15+C16+C17+C18</f>
        <v>43138.399999999907</v>
      </c>
    </row>
    <row r="16" spans="1:10" ht="15.75" customHeight="1">
      <c r="B16" s="58" t="s">
        <v>230</v>
      </c>
      <c r="C16" s="83">
        <f>Asset_Model!E58</f>
        <v>189521.4</v>
      </c>
      <c r="D16" s="213">
        <f>C16/(Dashboard!I5/Data!C4)</f>
        <v>0.13493774090395338</v>
      </c>
      <c r="E16" s="84" t="s">
        <v>305</v>
      </c>
      <c r="G16" s="194">
        <f>(G15+MIN(D4,0))*Data!C$4/Dashboard!I5</f>
        <v>3.0714200307781023E-2</v>
      </c>
    </row>
    <row r="17" spans="2:9" ht="15.75" customHeight="1">
      <c r="B17" s="58" t="s">
        <v>214</v>
      </c>
      <c r="C17" s="83">
        <f>-Asset_Model!D52</f>
        <v>-1480163</v>
      </c>
      <c r="D17" s="213">
        <f>C17/(Dashboard!I5/Data!C4)</f>
        <v>-1.0538643730450405</v>
      </c>
      <c r="E17" s="467" t="str">
        <f>IF(F18+G18=G16,"⇒","Error!")</f>
        <v>⇒</v>
      </c>
      <c r="F17" s="143" t="s">
        <v>231</v>
      </c>
      <c r="G17" s="86" t="s">
        <v>22</v>
      </c>
    </row>
    <row r="18" spans="2:9" ht="15.75" customHeight="1">
      <c r="B18" s="84" t="s">
        <v>225</v>
      </c>
      <c r="C18" s="83">
        <f>-Asset_Model!E50</f>
        <v>-13713</v>
      </c>
      <c r="D18" s="213">
        <f>C18/(Dashboard!I5/Data!C4)</f>
        <v>-9.7635477630278831E-3</v>
      </c>
      <c r="E18" s="467"/>
      <c r="F18" s="145">
        <f>D15+(MIN(D4,0)*Data!C$4/Dashboard!I5)</f>
        <v>0.95940438021189611</v>
      </c>
      <c r="G18" s="144">
        <f>SUM(D16:D18)</f>
        <v>-0.92869017990411507</v>
      </c>
    </row>
    <row r="19" spans="2:9" ht="15.75" customHeight="1">
      <c r="F19" s="6"/>
      <c r="G19" s="6"/>
    </row>
    <row r="20" spans="2:9" ht="15.75" customHeight="1">
      <c r="B20" s="26" t="s">
        <v>215</v>
      </c>
      <c r="C20" s="191" t="str">
        <f>B3</f>
        <v>(Numbers in 1000HKD)</v>
      </c>
      <c r="E20" s="468" t="s">
        <v>220</v>
      </c>
      <c r="F20" s="468"/>
      <c r="G20" s="94"/>
    </row>
    <row r="21" spans="2:9" ht="15.75" customHeight="1">
      <c r="B21" s="125" t="str">
        <f>"TV after Year "&amp;G4</f>
        <v>TV after Year 2</v>
      </c>
      <c r="C21" s="125" t="s">
        <v>218</v>
      </c>
      <c r="D21" s="199" t="s">
        <v>211</v>
      </c>
      <c r="E21" s="282" t="s">
        <v>219</v>
      </c>
      <c r="F21" s="249" t="str">
        <f>"Equity Value ("&amp;Dashboard!I11&amp;")"</f>
        <v>Equity Value (HKD)</v>
      </c>
      <c r="G21" s="344" t="str">
        <f>"Equity Value ("&amp;Dashboard!J4&amp;")"</f>
        <v>Equity Value (HKD)</v>
      </c>
      <c r="I21" s="85" t="s">
        <v>134</v>
      </c>
    </row>
    <row r="22" spans="2:9" ht="15.75" customHeight="1">
      <c r="B22" s="30" t="s">
        <v>278</v>
      </c>
      <c r="C22" s="14">
        <f>1/D22</f>
        <v>0.125</v>
      </c>
      <c r="D22" s="277">
        <v>8</v>
      </c>
      <c r="E22" s="202">
        <f ca="1">IF(G9&lt;0,G9,G9*D22/G11)</f>
        <v>1.0658479831472039</v>
      </c>
      <c r="F22" s="342">
        <f ca="1">E22+$G$16</f>
        <v>1.0965621834549848</v>
      </c>
      <c r="G22" s="345">
        <f ca="1">ROUND(F22*Exchange_Rate,2)</f>
        <v>1.1000000000000001</v>
      </c>
      <c r="I22" s="73"/>
    </row>
    <row r="23" spans="2:9" ht="15.75" customHeight="1" thickBot="1">
      <c r="B23" s="339" t="s">
        <v>279</v>
      </c>
      <c r="C23" s="340">
        <f>1/D23</f>
        <v>8.3333333333333329E-2</v>
      </c>
      <c r="D23" s="290">
        <v>12</v>
      </c>
      <c r="E23" s="341">
        <f ca="1">IF(G9&lt;0,G9,G9*D23/G11)</f>
        <v>1.5987719747208058</v>
      </c>
      <c r="F23" s="343">
        <f ca="1">E23+$G$16</f>
        <v>1.6294861750285867</v>
      </c>
      <c r="G23" s="348">
        <f ca="1">ROUND(F23*Exchange_Rate,2)</f>
        <v>1.63</v>
      </c>
      <c r="I23" s="73"/>
    </row>
    <row r="24" spans="2:9" ht="15.75" customHeight="1" thickTop="1">
      <c r="C24" s="6"/>
      <c r="D24" s="6"/>
      <c r="E24" s="6"/>
      <c r="F24" s="346" t="s">
        <v>312</v>
      </c>
      <c r="G24" s="347">
        <f ca="1">MIN(G22,G23)+ABS(G22-G23)*'Qualitative Analysis'!$E$64</f>
        <v>1.3418395408163266</v>
      </c>
    </row>
    <row r="25" spans="2:9" ht="15.75" customHeight="1">
      <c r="B25" s="6"/>
      <c r="C25" s="121"/>
      <c r="D25" s="121"/>
      <c r="E25" s="121"/>
      <c r="F25" s="121"/>
      <c r="G25" s="122"/>
      <c r="H25" s="6"/>
      <c r="I25" s="87"/>
    </row>
    <row r="26" spans="2:9" ht="15.75" customHeight="1">
      <c r="B26" s="26" t="s">
        <v>314</v>
      </c>
      <c r="C26" s="465" t="s">
        <v>145</v>
      </c>
      <c r="D26" s="466"/>
      <c r="E26" s="30" t="s">
        <v>210</v>
      </c>
      <c r="F26" s="30" t="s">
        <v>18</v>
      </c>
      <c r="G26" s="30"/>
      <c r="H26" s="6"/>
    </row>
    <row r="27" spans="2:9" ht="15.75" customHeight="1">
      <c r="B27" s="240" t="s">
        <v>311</v>
      </c>
      <c r="C27" s="238">
        <f ca="1">MIN(G24,Asset_Model!D7)+ABS(G24-Asset_Model!D7)*'Qualitative Analysis'!$E$8</f>
        <v>0.8509239883824179</v>
      </c>
      <c r="D27" s="117" t="str">
        <f>Dashboard!J4</f>
        <v>HKD</v>
      </c>
      <c r="E27" s="118">
        <f ca="1">(C27-G16)/C9</f>
        <v>8.149827642143503</v>
      </c>
      <c r="F27" s="155">
        <f ca="1">C27/(Data!C28*Exchange_Rate*Data!C4/Common_Shares)</f>
        <v>0.38695205270214678</v>
      </c>
      <c r="G27" s="86"/>
      <c r="H27" s="6"/>
      <c r="I27" s="73"/>
    </row>
    <row r="28" spans="2:9" ht="15.75" customHeight="1"/>
    <row r="29" spans="2:9" ht="15.75" customHeight="1">
      <c r="B29" s="350" t="s">
        <v>306</v>
      </c>
      <c r="E29" s="30" t="s">
        <v>210</v>
      </c>
      <c r="F29" s="30" t="s">
        <v>18</v>
      </c>
      <c r="I29" s="85" t="s">
        <v>134</v>
      </c>
    </row>
    <row r="30" spans="2:9" ht="15.75" customHeight="1">
      <c r="B30" s="333" t="s">
        <v>319</v>
      </c>
      <c r="C30" s="335">
        <f ca="1">G23</f>
        <v>1.63</v>
      </c>
      <c r="D30" s="334" t="str">
        <f>D27</f>
        <v>HKD</v>
      </c>
      <c r="E30" s="118">
        <f ca="1">(C30-G16)/C9</f>
        <v>15.89093888847029</v>
      </c>
      <c r="F30" s="155">
        <f ca="1">C30/(Asset_Model!I3*Exchange_Rate*Data!C4/Common_Shares)</f>
        <v>0.74453739149438802</v>
      </c>
      <c r="I30" s="73"/>
    </row>
    <row r="31" spans="2:9" ht="15.75" customHeight="1">
      <c r="B31" s="351" t="s">
        <v>306</v>
      </c>
      <c r="C31" s="361">
        <f ca="1">MIN(C30,C27)+ABS(C30-C27)*'Qualitative Analysis'!E64</f>
        <v>1.2064171674590427</v>
      </c>
      <c r="D31" s="334" t="str">
        <f>D30</f>
        <v>HKD</v>
      </c>
      <c r="E31" s="118">
        <f ca="1">(C31-G16)/C9</f>
        <v>11.682104602935526</v>
      </c>
      <c r="F31" s="155">
        <f ca="1">C31/(Asset_Model!I3*Exchange_Rate*Data!C4/Common_Shares)</f>
        <v>0.55105686559141354</v>
      </c>
      <c r="I31" s="73"/>
    </row>
    <row r="32" spans="2:9" ht="15.75" customHeight="1">
      <c r="B32" s="333" t="s">
        <v>313</v>
      </c>
      <c r="C32" s="361">
        <f ca="1">IF(Asset_Model!D7&gt;C27,Asset_Model!D7,C27)/(1+Dashboard!C16)</f>
        <v>0.68073919070593436</v>
      </c>
      <c r="D32" s="334" t="str">
        <f>D30</f>
        <v>HKD</v>
      </c>
      <c r="E32" s="118">
        <f ca="1">(C32-G16)/C9</f>
        <v>6.4588251833308625</v>
      </c>
      <c r="F32" s="155">
        <f ca="1">C32/(Asset_Model!I3*Exchange_Rate*Data!C4/Common_Shares)</f>
        <v>0.31094219713877125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</sheetData>
  <mergeCells count="3">
    <mergeCell ref="C26:D26"/>
    <mergeCell ref="E17:E18"/>
    <mergeCell ref="E20:F20"/>
  </mergeCells>
  <phoneticPr fontId="31" type="noConversion"/>
  <conditionalFormatting sqref="E4:F12">
    <cfRule type="containsBlanks" dxfId="1" priority="5">
      <formula>LEN(TRIM(E4))=0</formula>
    </cfRule>
  </conditionalFormatting>
  <conditionalFormatting sqref="E22:G23">
    <cfRule type="cellIs" dxfId="0" priority="29" operator="equal">
      <formula>#REF!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49" zoomScaleNormal="100" workbookViewId="0">
      <selection activeCell="D61" sqref="D61"/>
    </sheetView>
  </sheetViews>
  <sheetFormatPr defaultColWidth="12.453125" defaultRowHeight="15" customHeight="1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>
      <c r="A2" s="4"/>
      <c r="B2" s="11" t="s">
        <v>146</v>
      </c>
      <c r="C2" s="93"/>
      <c r="D2" s="12"/>
      <c r="E2" s="12"/>
      <c r="G2" s="71" t="s">
        <v>134</v>
      </c>
    </row>
    <row r="3" spans="1:7" ht="14">
      <c r="B3" s="6" t="s">
        <v>261</v>
      </c>
      <c r="C3" s="94"/>
      <c r="D3" s="92">
        <f>IF(E3="Strongly disagree",0,IF(E3="disagree",1,IF(E3="unclear",2,IF(E3="agree",3,4))))</f>
        <v>3</v>
      </c>
      <c r="E3" s="31" t="s">
        <v>148</v>
      </c>
      <c r="G3" s="78"/>
    </row>
    <row r="4" spans="1:7" ht="14">
      <c r="B4" s="6" t="s">
        <v>263</v>
      </c>
      <c r="C4" s="94"/>
      <c r="D4" s="92">
        <f t="shared" ref="D4" si="0">IF(E4="Strongly disagree",0,IF(E4="disagree",1,IF(E4="unclear",2,IF(E4="agree",3,4))))</f>
        <v>0</v>
      </c>
      <c r="E4" s="31" t="s">
        <v>170</v>
      </c>
      <c r="G4" s="76"/>
    </row>
    <row r="5" spans="1:7" ht="14">
      <c r="B5" s="6" t="s">
        <v>258</v>
      </c>
      <c r="C5" s="94"/>
      <c r="D5" s="92">
        <f>AVERAGE(D12:D16)</f>
        <v>1.6</v>
      </c>
      <c r="E5" s="100" t="str">
        <f>IF(D5&gt;=3.5,"Strongly agree",IF(D5&gt;=2.5,"agree",IF(D5&gt;=1.5,"unclear",IF(D5&gt;=0.5,"disagree","Strongly disagree"))))</f>
        <v>unclear</v>
      </c>
      <c r="G5" s="76"/>
    </row>
    <row r="6" spans="1:7" ht="14">
      <c r="B6" s="6" t="s">
        <v>259</v>
      </c>
      <c r="C6" s="94"/>
      <c r="D6" s="92">
        <f>AVERAGE(D24:D28)</f>
        <v>2.4</v>
      </c>
      <c r="E6" s="100" t="str">
        <f>IF(D6&gt;=3.5,"Strongly agree",IF(D6&gt;=2.5,"agree",IF(D6&gt;=1.5,"unclear",IF(D6&gt;=0.5,"disagree","Strongly disagree"))))</f>
        <v>unclear</v>
      </c>
      <c r="G6" s="76"/>
    </row>
    <row r="7" spans="1:7" ht="14">
      <c r="B7" s="6" t="s">
        <v>260</v>
      </c>
      <c r="C7" s="94"/>
      <c r="D7" s="98">
        <f>IF(E7="Strongly disagree",0,IF(E7="disagree",1,IF(E7="unclear",2,IF(E7="agree",3,4))))</f>
        <v>2</v>
      </c>
      <c r="E7" s="99" t="str">
        <f>IF(D64&gt;=3.5,"Strongly agree",IF(D64&gt;=2.5,"agree",IF(D64&gt;=1.5,"unclear",IF(D64&gt;=0.5,"disagree","Strongly disagree"))))</f>
        <v>unclear</v>
      </c>
      <c r="G7" s="78"/>
    </row>
    <row r="8" spans="1:7" ht="14">
      <c r="B8" s="95" t="s">
        <v>149</v>
      </c>
      <c r="C8" s="94"/>
      <c r="D8" s="92">
        <f>AVERAGE(D3:D7)</f>
        <v>1.8</v>
      </c>
      <c r="E8" s="96">
        <f>D8/4</f>
        <v>0.45</v>
      </c>
      <c r="G8" s="76"/>
    </row>
    <row r="9" spans="1:7" ht="14">
      <c r="B9" s="94"/>
      <c r="C9" s="94"/>
      <c r="E9" s="6"/>
      <c r="G9" s="76"/>
    </row>
    <row r="10" spans="1:7" ht="15" customHeight="1">
      <c r="A10" s="4"/>
      <c r="B10" s="11" t="s">
        <v>150</v>
      </c>
      <c r="C10" s="20"/>
      <c r="D10" s="20"/>
      <c r="E10" s="12"/>
      <c r="G10" s="274"/>
    </row>
    <row r="11" spans="1:7" ht="15" customHeight="1">
      <c r="B11" s="97" t="s">
        <v>151</v>
      </c>
      <c r="C11" s="91"/>
      <c r="E11" s="6"/>
      <c r="G11" s="274"/>
    </row>
    <row r="12" spans="1:7" ht="15" customHeight="1">
      <c r="B12" s="53" t="s">
        <v>262</v>
      </c>
      <c r="D12" s="98">
        <f>IF(E12="Strongly disagree",0,IF(E12="disagree",1,IF(E12="unclear",2,IF(E12="agree",3,4))))</f>
        <v>1</v>
      </c>
      <c r="E12" s="31" t="s">
        <v>155</v>
      </c>
      <c r="F12" s="6"/>
      <c r="G12" s="274"/>
    </row>
    <row r="13" spans="1:7" ht="15" customHeight="1">
      <c r="B13" s="53" t="s">
        <v>152</v>
      </c>
      <c r="D13" s="98">
        <f>IF(E13="Strongly disagree",0,IF(E13="disagree",1,IF(E13="unclear",2,IF(E13="agree",3,4))))</f>
        <v>3</v>
      </c>
      <c r="E13" s="31" t="s">
        <v>148</v>
      </c>
      <c r="F13" s="6"/>
      <c r="G13" s="274"/>
    </row>
    <row r="14" spans="1:7" ht="15" customHeight="1">
      <c r="B14" s="53" t="s">
        <v>153</v>
      </c>
      <c r="D14" s="98">
        <f>IF(E14="Strongly disagree",0,IF(E14="disagree",1,IF(E14="unclear",2,IF(E14="agree",3,4))))</f>
        <v>1</v>
      </c>
      <c r="E14" s="31" t="s">
        <v>155</v>
      </c>
      <c r="F14" s="6"/>
      <c r="G14" s="274"/>
    </row>
    <row r="15" spans="1:7" ht="15" customHeight="1">
      <c r="B15" s="53" t="s">
        <v>154</v>
      </c>
      <c r="D15" s="98">
        <f>IF(E15="Strongly disagree",0,IF(E15="disagree",1,IF(E15="unclear",2,IF(E15="agree",3,4))))</f>
        <v>0</v>
      </c>
      <c r="E15" s="31" t="s">
        <v>170</v>
      </c>
      <c r="F15" s="6"/>
      <c r="G15" s="274"/>
    </row>
    <row r="16" spans="1:7" ht="15" customHeight="1">
      <c r="B16" s="53" t="s">
        <v>156</v>
      </c>
      <c r="D16" s="98">
        <f>IF(E16="Strongly disagree",0,IF(E16="disagree",1,IF(E16="unclear",2,IF(E16="agree",3,4))))</f>
        <v>3</v>
      </c>
      <c r="E16" s="31" t="s">
        <v>148</v>
      </c>
      <c r="F16" s="6"/>
      <c r="G16" s="274"/>
    </row>
    <row r="17" spans="2:7" ht="15" customHeight="1">
      <c r="B17" s="97" t="s">
        <v>158</v>
      </c>
      <c r="D17" s="38"/>
      <c r="E17" s="23"/>
      <c r="G17" s="274"/>
    </row>
    <row r="18" spans="2:7" ht="15" customHeight="1">
      <c r="B18" s="53" t="s">
        <v>283</v>
      </c>
      <c r="D18" s="98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74"/>
    </row>
    <row r="19" spans="2:7" ht="15" customHeight="1">
      <c r="B19" s="53" t="s">
        <v>159</v>
      </c>
      <c r="D19" s="98">
        <f t="shared" ref="D19:D22" si="1">IF(E19="Strongly disagree",0,IF(E19="disagree",1,IF(E19="unclear",2,IF(E19="agree",3,4))))</f>
        <v>2</v>
      </c>
      <c r="E19" s="31" t="s">
        <v>147</v>
      </c>
      <c r="F19" s="6"/>
      <c r="G19" s="274"/>
    </row>
    <row r="20" spans="2:7" ht="15" customHeight="1">
      <c r="B20" s="53" t="s">
        <v>160</v>
      </c>
      <c r="D20" s="98">
        <f t="shared" si="1"/>
        <v>0</v>
      </c>
      <c r="E20" s="31" t="s">
        <v>170</v>
      </c>
      <c r="F20" s="6"/>
      <c r="G20" s="274"/>
    </row>
    <row r="21" spans="2:7" ht="15" customHeight="1">
      <c r="B21" s="53" t="s">
        <v>161</v>
      </c>
      <c r="D21" s="98">
        <f t="shared" si="1"/>
        <v>1</v>
      </c>
      <c r="E21" s="31" t="s">
        <v>155</v>
      </c>
      <c r="F21" s="6"/>
      <c r="G21" s="274"/>
    </row>
    <row r="22" spans="2:7" ht="15" customHeight="1">
      <c r="B22" s="53" t="s">
        <v>162</v>
      </c>
      <c r="D22" s="98">
        <f t="shared" si="1"/>
        <v>2</v>
      </c>
      <c r="E22" s="31" t="s">
        <v>147</v>
      </c>
      <c r="F22" s="6"/>
      <c r="G22" s="274"/>
    </row>
    <row r="23" spans="2:7" ht="15" customHeight="1">
      <c r="B23" s="97" t="s">
        <v>163</v>
      </c>
      <c r="D23" s="38"/>
      <c r="E23" s="23"/>
      <c r="G23" s="274"/>
    </row>
    <row r="24" spans="2:7" ht="15" customHeight="1">
      <c r="B24" s="53" t="s">
        <v>164</v>
      </c>
      <c r="D24" s="98">
        <f t="shared" ref="D24:D28" si="2">IF(E24="Strongly disagree",0,IF(E24="disagree",1,IF(E24="unclear",2,IF(E24="agree",3,4))))</f>
        <v>2</v>
      </c>
      <c r="E24" s="31" t="s">
        <v>147</v>
      </c>
      <c r="F24" s="6"/>
      <c r="G24" s="274"/>
    </row>
    <row r="25" spans="2:7" ht="15" customHeight="1">
      <c r="B25" s="53" t="s">
        <v>165</v>
      </c>
      <c r="D25" s="98">
        <f t="shared" si="2"/>
        <v>2</v>
      </c>
      <c r="E25" s="31" t="s">
        <v>147</v>
      </c>
      <c r="F25" s="6"/>
      <c r="G25" s="274"/>
    </row>
    <row r="26" spans="2:7" ht="15" customHeight="1">
      <c r="B26" s="53" t="s">
        <v>264</v>
      </c>
      <c r="D26" s="98">
        <f t="shared" si="2"/>
        <v>3</v>
      </c>
      <c r="E26" s="31" t="s">
        <v>148</v>
      </c>
      <c r="F26" s="6"/>
      <c r="G26" s="274"/>
    </row>
    <row r="27" spans="2:7" ht="15" customHeight="1">
      <c r="B27" s="53" t="s">
        <v>265</v>
      </c>
      <c r="D27" s="98">
        <f t="shared" si="2"/>
        <v>3</v>
      </c>
      <c r="E27" s="31" t="s">
        <v>148</v>
      </c>
      <c r="F27" s="6"/>
      <c r="G27" s="274"/>
    </row>
    <row r="28" spans="2:7" ht="15" customHeight="1">
      <c r="B28" s="53" t="s">
        <v>166</v>
      </c>
      <c r="D28" s="98">
        <f t="shared" si="2"/>
        <v>2</v>
      </c>
      <c r="E28" s="31" t="s">
        <v>147</v>
      </c>
      <c r="F28" s="6"/>
      <c r="G28" s="274"/>
    </row>
    <row r="29" spans="2:7" ht="15" customHeight="1">
      <c r="B29" s="97" t="s">
        <v>167</v>
      </c>
      <c r="D29" s="38"/>
      <c r="E29" s="23"/>
      <c r="G29" s="274"/>
    </row>
    <row r="30" spans="2:7" ht="15" customHeight="1">
      <c r="B30" s="1" t="s">
        <v>168</v>
      </c>
      <c r="D30" s="101">
        <f>SUM(D31:D35)/(5*4)</f>
        <v>0.4</v>
      </c>
      <c r="E30" s="49" t="str">
        <f>IF(D30&gt;80%,"Very High",IF(D30&lt;=20%,"Very Low",IF(D30&lt;=40%,"Low",IF(D30&lt;=60%,"Medium","High"))))</f>
        <v>Low</v>
      </c>
      <c r="F30" s="6"/>
      <c r="G30" s="274"/>
    </row>
    <row r="31" spans="2:7" ht="15" customHeight="1">
      <c r="B31" s="53" t="s">
        <v>169</v>
      </c>
      <c r="D31" s="98">
        <f t="shared" ref="D31:D35" si="3">IF(E31="Strongly disagree",0,IF(E31="disagree",1,IF(E31="unclear",2,IF(E31="agree",3,4))))</f>
        <v>0</v>
      </c>
      <c r="E31" s="31" t="s">
        <v>170</v>
      </c>
      <c r="F31" s="6"/>
      <c r="G31" s="274"/>
    </row>
    <row r="32" spans="2:7" ht="15" customHeight="1">
      <c r="B32" s="53" t="s">
        <v>266</v>
      </c>
      <c r="D32" s="98">
        <f t="shared" si="3"/>
        <v>4</v>
      </c>
      <c r="E32" s="31" t="s">
        <v>157</v>
      </c>
      <c r="F32" s="6"/>
      <c r="G32" s="274"/>
    </row>
    <row r="33" spans="2:7" ht="15" customHeight="1">
      <c r="B33" s="53" t="s">
        <v>267</v>
      </c>
      <c r="D33" s="98">
        <f t="shared" si="3"/>
        <v>0</v>
      </c>
      <c r="E33" s="31" t="s">
        <v>170</v>
      </c>
      <c r="F33" s="6"/>
      <c r="G33" s="274"/>
    </row>
    <row r="34" spans="2:7" ht="15" customHeight="1">
      <c r="B34" s="53" t="s">
        <v>268</v>
      </c>
      <c r="D34" s="98">
        <f t="shared" si="3"/>
        <v>2</v>
      </c>
      <c r="E34" s="31" t="s">
        <v>147</v>
      </c>
      <c r="F34" s="6"/>
      <c r="G34" s="274"/>
    </row>
    <row r="35" spans="2:7" ht="15" customHeight="1">
      <c r="B35" s="53" t="s">
        <v>285</v>
      </c>
      <c r="D35" s="98">
        <f t="shared" si="3"/>
        <v>2</v>
      </c>
      <c r="E35" s="31" t="s">
        <v>147</v>
      </c>
      <c r="G35" s="274"/>
    </row>
    <row r="36" spans="2:7" ht="15" customHeight="1">
      <c r="B36" s="1" t="s">
        <v>171</v>
      </c>
      <c r="D36" s="101">
        <f>SUM(D37:D41)/(5*4)</f>
        <v>0.9</v>
      </c>
      <c r="E36" s="49" t="str">
        <f>IF(D36&gt;80%,"Very High",IF(D36&lt;=20%,"Very Low",IF(D36&lt;=40%,"Low",IF(D36&lt;=60%,"Medium","High"))))</f>
        <v>Very High</v>
      </c>
      <c r="F36" s="6"/>
      <c r="G36" s="274"/>
    </row>
    <row r="37" spans="2:7" ht="15" customHeight="1">
      <c r="B37" s="53" t="s">
        <v>172</v>
      </c>
      <c r="D37" s="98">
        <f t="shared" ref="D37:D41" si="4">IF(E37="Strongly disagree",0,IF(E37="disagree",1,IF(E37="unclear",2,IF(E37="agree",3,4))))</f>
        <v>4</v>
      </c>
      <c r="E37" s="31" t="s">
        <v>157</v>
      </c>
      <c r="F37" s="6"/>
      <c r="G37" s="274"/>
    </row>
    <row r="38" spans="2:7" ht="15" customHeight="1">
      <c r="B38" s="53" t="s">
        <v>269</v>
      </c>
      <c r="D38" s="98">
        <f t="shared" si="4"/>
        <v>4</v>
      </c>
      <c r="E38" s="31" t="s">
        <v>157</v>
      </c>
      <c r="F38" s="6"/>
      <c r="G38" s="274"/>
    </row>
    <row r="39" spans="2:7" ht="15" customHeight="1">
      <c r="B39" s="53" t="s">
        <v>270</v>
      </c>
      <c r="D39" s="98">
        <f t="shared" si="4"/>
        <v>4</v>
      </c>
      <c r="E39" s="31" t="s">
        <v>157</v>
      </c>
      <c r="F39" s="6"/>
      <c r="G39" s="274"/>
    </row>
    <row r="40" spans="2:7" ht="15" customHeight="1">
      <c r="B40" s="53" t="s">
        <v>271</v>
      </c>
      <c r="D40" s="98">
        <f t="shared" si="4"/>
        <v>4</v>
      </c>
      <c r="E40" s="31" t="s">
        <v>157</v>
      </c>
      <c r="F40" s="6"/>
      <c r="G40" s="274"/>
    </row>
    <row r="41" spans="2:7" ht="15" customHeight="1">
      <c r="B41" s="53" t="s">
        <v>272</v>
      </c>
      <c r="D41" s="98">
        <f t="shared" si="4"/>
        <v>2</v>
      </c>
      <c r="E41" s="31" t="s">
        <v>147</v>
      </c>
      <c r="G41" s="274"/>
    </row>
    <row r="42" spans="2:7" ht="15" customHeight="1">
      <c r="B42" s="1" t="s">
        <v>173</v>
      </c>
      <c r="D42" s="101">
        <f>SUM(D43:D48)/(6*4)</f>
        <v>0.375</v>
      </c>
      <c r="E42" s="49" t="str">
        <f>IF(D42&gt;80%,"Very High",IF(D42&lt;=20%,"Very Low",IF(D42&lt;=40%,"Low",IF(D42&lt;=60%,"Medium","High"))))</f>
        <v>Low</v>
      </c>
      <c r="F42" s="6"/>
      <c r="G42" s="274"/>
    </row>
    <row r="43" spans="2:7" ht="15" customHeight="1">
      <c r="B43" s="53" t="s">
        <v>174</v>
      </c>
      <c r="D43" s="98">
        <f t="shared" ref="D43:D48" si="5">IF(E43="Strongly disagree",0,IF(E43="disagree",1,IF(E43="unclear",2,IF(E43="agree",3,4))))</f>
        <v>4</v>
      </c>
      <c r="E43" s="31" t="s">
        <v>157</v>
      </c>
      <c r="F43" s="6"/>
      <c r="G43" s="274"/>
    </row>
    <row r="44" spans="2:7" ht="15" customHeight="1">
      <c r="B44" s="53" t="s">
        <v>175</v>
      </c>
      <c r="D44" s="98">
        <f t="shared" si="5"/>
        <v>1</v>
      </c>
      <c r="E44" s="31" t="s">
        <v>155</v>
      </c>
      <c r="F44" s="6"/>
      <c r="G44" s="274"/>
    </row>
    <row r="45" spans="2:7" ht="15" customHeight="1">
      <c r="B45" s="53" t="s">
        <v>176</v>
      </c>
      <c r="D45" s="98">
        <f t="shared" si="5"/>
        <v>2</v>
      </c>
      <c r="E45" s="31" t="s">
        <v>147</v>
      </c>
      <c r="F45" s="6"/>
      <c r="G45" s="274"/>
    </row>
    <row r="46" spans="2:7" ht="15" customHeight="1">
      <c r="B46" s="53" t="s">
        <v>177</v>
      </c>
      <c r="D46" s="98">
        <f t="shared" si="5"/>
        <v>2</v>
      </c>
      <c r="E46" s="31" t="s">
        <v>147</v>
      </c>
      <c r="F46" s="6"/>
      <c r="G46" s="274"/>
    </row>
    <row r="47" spans="2:7" ht="15" customHeight="1">
      <c r="B47" s="53" t="s">
        <v>178</v>
      </c>
      <c r="D47" s="98">
        <f t="shared" si="5"/>
        <v>0</v>
      </c>
      <c r="E47" s="31" t="s">
        <v>170</v>
      </c>
      <c r="F47" s="6"/>
      <c r="G47" s="274"/>
    </row>
    <row r="48" spans="2:7" ht="15" customHeight="1">
      <c r="B48" s="53" t="s">
        <v>204</v>
      </c>
      <c r="D48" s="98">
        <f t="shared" si="5"/>
        <v>0</v>
      </c>
      <c r="E48" s="31" t="s">
        <v>170</v>
      </c>
      <c r="F48" s="6"/>
      <c r="G48" s="274"/>
    </row>
    <row r="49" spans="2:8" ht="15" customHeight="1">
      <c r="B49" s="1" t="s">
        <v>179</v>
      </c>
      <c r="D49" s="101">
        <f>SUM(D50:D54)/(5*4)</f>
        <v>0.36564625850340138</v>
      </c>
      <c r="E49" s="49" t="str">
        <f>IF(D49&gt;80%,"Very High",IF(D49&lt;=20%,"Very Low",IF(D49&lt;=40%,"Low",IF(D49&lt;=60%,"Medium","High"))))</f>
        <v>Low</v>
      </c>
      <c r="F49" s="6"/>
      <c r="G49" s="274"/>
    </row>
    <row r="50" spans="2:8" ht="15" customHeight="1">
      <c r="B50" s="53" t="s">
        <v>180</v>
      </c>
      <c r="D50" s="98">
        <f t="shared" ref="D50:D52" si="6">IF(E50="Strongly disagree",0,IF(E50="disagree",1,IF(E50="unclear",2,IF(E50="agree",3,4))))</f>
        <v>0</v>
      </c>
      <c r="E50" s="31" t="s">
        <v>170</v>
      </c>
      <c r="G50" s="274"/>
    </row>
    <row r="51" spans="2:8" ht="15" customHeight="1">
      <c r="B51" s="53" t="s">
        <v>181</v>
      </c>
      <c r="D51" s="98">
        <f t="shared" si="6"/>
        <v>0</v>
      </c>
      <c r="E51" s="31" t="s">
        <v>170</v>
      </c>
      <c r="F51" s="6"/>
      <c r="G51" s="274"/>
    </row>
    <row r="52" spans="2:8" ht="15" customHeight="1">
      <c r="B52" s="53" t="s">
        <v>273</v>
      </c>
      <c r="D52" s="98">
        <f t="shared" si="6"/>
        <v>1</v>
      </c>
      <c r="E52" s="31" t="s">
        <v>155</v>
      </c>
      <c r="G52" s="274"/>
    </row>
    <row r="53" spans="2:8" ht="15" customHeight="1">
      <c r="B53" s="53" t="s">
        <v>274</v>
      </c>
      <c r="D53" s="98">
        <f>IF(E53="Strongly disagree",0,IF(E53="disagree",1,IF(E53="unclear",2,IF(E53="agree",3,4))))</f>
        <v>4</v>
      </c>
      <c r="E53" s="31" t="s">
        <v>157</v>
      </c>
      <c r="F53" s="53"/>
      <c r="G53" s="274"/>
      <c r="H53" s="53"/>
    </row>
    <row r="54" spans="2:8" ht="15" customHeight="1">
      <c r="B54" s="53" t="s">
        <v>275</v>
      </c>
      <c r="D54" s="102">
        <f t="array" ref="D54">(1-INDEX(B68:E77,MATCH(E54,B68:B77,0),4))*4</f>
        <v>2.3129251700680271</v>
      </c>
      <c r="E54" s="31" t="s">
        <v>323</v>
      </c>
      <c r="F54" s="53"/>
      <c r="G54" s="274"/>
      <c r="H54" s="53"/>
    </row>
    <row r="55" spans="2:8" ht="15" customHeight="1">
      <c r="B55" s="1" t="s">
        <v>182</v>
      </c>
      <c r="D55" s="103">
        <f>SUM(D56:D61)/(6*4)</f>
        <v>0.83333333333333337</v>
      </c>
      <c r="E55" s="49" t="str">
        <f>IF(D55&gt;80%,"Very High",IF(D55&lt;=20%,"Very Low",IF(D55&lt;=40%,"Low",IF(D55&lt;=60%,"Medium","High"))))</f>
        <v>Very High</v>
      </c>
      <c r="F55" s="53"/>
      <c r="G55" s="274"/>
      <c r="H55" s="53"/>
    </row>
    <row r="56" spans="2:8" ht="15" customHeight="1">
      <c r="B56" s="53" t="s">
        <v>183</v>
      </c>
      <c r="D56" s="98">
        <f t="shared" ref="D56:D60" si="7">IF(E56="Strongly disagree",0,IF(E56="disagree",1,IF(E56="unclear",2,IF(E56="agree",3,4))))</f>
        <v>3</v>
      </c>
      <c r="E56" s="31" t="s">
        <v>148</v>
      </c>
      <c r="F56" s="53"/>
      <c r="G56" s="274"/>
      <c r="H56" s="53"/>
    </row>
    <row r="57" spans="2:8" ht="15" customHeight="1">
      <c r="B57" s="53" t="s">
        <v>184</v>
      </c>
      <c r="D57" s="98">
        <f t="shared" si="7"/>
        <v>4</v>
      </c>
      <c r="E57" s="31" t="s">
        <v>157</v>
      </c>
      <c r="F57" s="53"/>
      <c r="G57" s="274"/>
      <c r="H57" s="53"/>
    </row>
    <row r="58" spans="2:8" ht="15" customHeight="1">
      <c r="B58" s="53" t="s">
        <v>205</v>
      </c>
      <c r="D58" s="98">
        <f t="shared" si="7"/>
        <v>3</v>
      </c>
      <c r="E58" s="31" t="s">
        <v>148</v>
      </c>
      <c r="F58" s="53"/>
      <c r="G58" s="274"/>
      <c r="H58" s="53"/>
    </row>
    <row r="59" spans="2:8" ht="15" customHeight="1">
      <c r="B59" s="53" t="s">
        <v>206</v>
      </c>
      <c r="D59" s="98">
        <f t="shared" si="7"/>
        <v>4</v>
      </c>
      <c r="E59" s="31" t="s">
        <v>157</v>
      </c>
      <c r="F59" s="53"/>
      <c r="G59" s="274"/>
      <c r="H59" s="53"/>
    </row>
    <row r="60" spans="2:8" ht="15" customHeight="1">
      <c r="B60" s="53" t="s">
        <v>207</v>
      </c>
      <c r="D60" s="98">
        <f t="shared" si="7"/>
        <v>4</v>
      </c>
      <c r="E60" s="31" t="s">
        <v>157</v>
      </c>
      <c r="F60" s="53"/>
      <c r="G60" s="274"/>
      <c r="H60" s="53"/>
    </row>
    <row r="61" spans="2:8" ht="15" customHeight="1">
      <c r="B61" s="53" t="s">
        <v>208</v>
      </c>
      <c r="D61" s="98">
        <f>IF(E61="Strongly disagree",0,IF(E61="disagree",1,IF(E61="non-perishable",2,IF(E61="agree",3,4))))</f>
        <v>2</v>
      </c>
      <c r="E61" s="31" t="s">
        <v>348</v>
      </c>
      <c r="F61" s="53"/>
      <c r="G61" s="274"/>
      <c r="H61" s="53"/>
    </row>
    <row r="62" spans="2:8" ht="15" customHeight="1">
      <c r="B62" s="143" t="s">
        <v>185</v>
      </c>
      <c r="D62" s="124">
        <f>1-AVERAGE(D30,D36,D42,D49,D55)</f>
        <v>0.425204081632653</v>
      </c>
      <c r="E62" s="49" t="str">
        <f>IF(D62&gt;80%,"Very Low",IF(D62&lt;=20%,"Very High",IF(D62&lt;=40%,"High",IF(D62&lt;=60%,"Medium","Low"))))</f>
        <v>Medium</v>
      </c>
      <c r="F62" s="53"/>
      <c r="G62" s="274"/>
      <c r="H62" s="53"/>
    </row>
    <row r="63" spans="2:8" ht="15" customHeight="1">
      <c r="D63" s="6"/>
      <c r="G63" s="274"/>
    </row>
    <row r="64" spans="2:8" ht="15" customHeight="1">
      <c r="B64" s="95" t="s">
        <v>186</v>
      </c>
      <c r="D64" s="92">
        <f>E64*4</f>
        <v>1.8252040816326529</v>
      </c>
      <c r="E64" s="123">
        <f>AVERAGE(AVERAGE(D12:D16)/4,AVERAGE(D18:D22)/4,AVERAGE(D24:D28)/4,D62)</f>
        <v>0.45630102040816323</v>
      </c>
      <c r="G64" s="274"/>
    </row>
    <row r="65" spans="2:7" ht="15" customHeight="1">
      <c r="G65" s="275"/>
    </row>
    <row r="66" spans="2:7" ht="15" customHeight="1">
      <c r="B66" s="54" t="s">
        <v>187</v>
      </c>
      <c r="C66" s="7"/>
      <c r="D66" s="7"/>
      <c r="E66" s="55"/>
    </row>
    <row r="67" spans="2:7" ht="15" customHeight="1">
      <c r="B67" s="104" t="s">
        <v>188</v>
      </c>
      <c r="C67" s="105"/>
      <c r="D67" s="105"/>
      <c r="E67" s="106"/>
    </row>
    <row r="68" spans="2:7" ht="15" customHeight="1">
      <c r="B68" s="107" t="s">
        <v>189</v>
      </c>
      <c r="C68" s="105"/>
      <c r="D68" s="105">
        <v>1</v>
      </c>
      <c r="E68" s="108">
        <f t="shared" ref="E68:E76" si="8">D68/MAX($D$68:$D$77)</f>
        <v>3.4013605442176874E-2</v>
      </c>
    </row>
    <row r="69" spans="2:7" ht="15" customHeight="1">
      <c r="B69" s="107" t="str">
        <f t="shared" ref="B69:B77" si="9">C69&amp;", "&amp;D69&amp;"y"</f>
        <v>Information Technology Like, 6.6y</v>
      </c>
      <c r="C69" s="105" t="s">
        <v>190</v>
      </c>
      <c r="D69" s="105">
        <v>6.6</v>
      </c>
      <c r="E69" s="108">
        <f t="shared" si="8"/>
        <v>0.22448979591836735</v>
      </c>
    </row>
    <row r="70" spans="2:7" ht="15" customHeight="1">
      <c r="B70" s="107" t="str">
        <f t="shared" si="9"/>
        <v>Healthcare, 11.4y</v>
      </c>
      <c r="C70" s="105" t="s">
        <v>191</v>
      </c>
      <c r="D70" s="105">
        <v>11.4</v>
      </c>
      <c r="E70" s="108">
        <f t="shared" si="8"/>
        <v>0.38775510204081637</v>
      </c>
    </row>
    <row r="71" spans="2:7" ht="15" customHeight="1">
      <c r="B71" s="107" t="str">
        <f t="shared" si="9"/>
        <v>Consumer Discretionary, 12.4y</v>
      </c>
      <c r="C71" s="105" t="s">
        <v>192</v>
      </c>
      <c r="D71" s="105">
        <v>12.4</v>
      </c>
      <c r="E71" s="108">
        <f t="shared" si="8"/>
        <v>0.42176870748299322</v>
      </c>
    </row>
    <row r="72" spans="2:7" ht="15" customHeight="1">
      <c r="B72" s="107" t="str">
        <f t="shared" si="9"/>
        <v>Consumer Staples, 15.1y</v>
      </c>
      <c r="C72" s="105" t="s">
        <v>193</v>
      </c>
      <c r="D72" s="105">
        <v>15.1</v>
      </c>
      <c r="E72" s="108">
        <f t="shared" si="8"/>
        <v>0.51360544217687076</v>
      </c>
    </row>
    <row r="73" spans="2:7" ht="15" customHeight="1">
      <c r="B73" s="107" t="str">
        <f t="shared" si="9"/>
        <v>Industrials, 15.4y</v>
      </c>
      <c r="C73" s="105" t="s">
        <v>194</v>
      </c>
      <c r="D73" s="105">
        <v>15.4</v>
      </c>
      <c r="E73" s="108">
        <f t="shared" si="8"/>
        <v>0.52380952380952384</v>
      </c>
    </row>
    <row r="74" spans="2:7" ht="15" customHeight="1">
      <c r="B74" s="107" t="str">
        <f t="shared" si="9"/>
        <v>Telecommunication Services, 16.1y</v>
      </c>
      <c r="C74" s="105" t="s">
        <v>195</v>
      </c>
      <c r="D74" s="105">
        <v>16.100000000000001</v>
      </c>
      <c r="E74" s="108">
        <f t="shared" si="8"/>
        <v>0.54761904761904767</v>
      </c>
    </row>
    <row r="75" spans="2:7" ht="15" customHeight="1">
      <c r="B75" s="107" t="str">
        <f t="shared" si="9"/>
        <v>Energy, 17.6y</v>
      </c>
      <c r="C75" s="105" t="s">
        <v>196</v>
      </c>
      <c r="D75" s="105">
        <v>17.600000000000001</v>
      </c>
      <c r="E75" s="108">
        <f t="shared" si="8"/>
        <v>0.59863945578231303</v>
      </c>
    </row>
    <row r="76" spans="2:7" ht="15" customHeight="1">
      <c r="B76" s="107" t="str">
        <f t="shared" si="9"/>
        <v>Materials, 18.6y</v>
      </c>
      <c r="C76" s="105" t="s">
        <v>197</v>
      </c>
      <c r="D76" s="105">
        <v>18.600000000000001</v>
      </c>
      <c r="E76" s="108">
        <f t="shared" si="8"/>
        <v>0.63265306122448983</v>
      </c>
    </row>
    <row r="77" spans="2:7" ht="15" customHeight="1">
      <c r="B77" s="109" t="str">
        <f t="shared" si="9"/>
        <v>Utilities, 29.4y</v>
      </c>
      <c r="C77" s="110" t="s">
        <v>198</v>
      </c>
      <c r="D77" s="110">
        <v>29.4</v>
      </c>
      <c r="E77" s="111">
        <f>D77/MAX($D$69:$D$77)</f>
        <v>1</v>
      </c>
    </row>
  </sheetData>
  <dataConsolidate/>
  <phoneticPr fontId="31" type="noConversion"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2023-07-27T06:40:55Z</dcterms:modified>
  <cp:category/>
  <cp:contentStatus/>
</cp:coreProperties>
</file>