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937B991-6C81-48F3-8F44-7D4995F98921}" xr6:coauthVersionLast="47" xr6:coauthVersionMax="47" xr10:uidLastSave="{00000000-0000-0000-0000-000000000000}"/>
  <bookViews>
    <workbookView xWindow="35250" yWindow="4110" windowWidth="8625" windowHeight="4635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E48" i="2"/>
  <c r="E51" i="2" s="1"/>
  <c r="E52" i="2" s="1"/>
  <c r="D48" i="2"/>
  <c r="D51" i="2" s="1"/>
  <c r="D52" i="2" s="1"/>
  <c r="C48" i="2"/>
  <c r="C51" i="2" s="1"/>
  <c r="C52" i="2" s="1"/>
  <c r="C30" i="4"/>
  <c r="C10" i="7"/>
  <c r="C14" i="7"/>
  <c r="E7" i="7"/>
  <c r="E6" i="7"/>
  <c r="E5" i="7"/>
  <c r="E4" i="7"/>
  <c r="C37" i="1"/>
  <c r="B16" i="1"/>
  <c r="F51" i="2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16" i="2" s="1"/>
  <c r="M45" i="2" s="1"/>
  <c r="K14" i="2"/>
  <c r="K13" i="2" s="1"/>
  <c r="M12" i="2"/>
  <c r="M10" i="2"/>
  <c r="L10" i="2"/>
  <c r="K10" i="2"/>
  <c r="H10" i="2"/>
  <c r="G10" i="2"/>
  <c r="D10" i="2"/>
  <c r="L14" i="2"/>
  <c r="K15" i="2" s="1"/>
  <c r="L44" i="2"/>
  <c r="J14" i="2"/>
  <c r="J16" i="2" s="1"/>
  <c r="J45" i="2" s="1"/>
  <c r="I10" i="2"/>
  <c r="H14" i="2"/>
  <c r="H44" i="2" s="1"/>
  <c r="G14" i="2"/>
  <c r="F1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I14" i="2"/>
  <c r="I44" i="2" s="1"/>
  <c r="K12" i="2"/>
  <c r="C33" i="2"/>
  <c r="C34" i="2" s="1"/>
  <c r="C22" i="4"/>
  <c r="H17" i="2"/>
  <c r="K17" i="2"/>
  <c r="J17" i="2"/>
  <c r="G17" i="2"/>
  <c r="I12" i="2"/>
  <c r="L17" i="2"/>
  <c r="I17" i="2"/>
  <c r="L16" i="2" l="1"/>
  <c r="L45" i="2" s="1"/>
  <c r="G15" i="2"/>
  <c r="G13" i="2"/>
  <c r="H16" i="2"/>
  <c r="H45" i="2" s="1"/>
  <c r="G44" i="2"/>
  <c r="J44" i="2"/>
  <c r="I16" i="2"/>
  <c r="I45" i="2" s="1"/>
  <c r="J13" i="2"/>
  <c r="I15" i="2"/>
  <c r="I13" i="2"/>
  <c r="L15" i="2"/>
  <c r="K44" i="2"/>
  <c r="L13" i="2"/>
  <c r="J15" i="2"/>
  <c r="K16" i="2"/>
  <c r="K45" i="2" s="1"/>
  <c r="H15" i="2"/>
  <c r="M13" i="2"/>
  <c r="M44" i="2"/>
  <c r="H13" i="2"/>
  <c r="D36" i="5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6" i="4" s="1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C38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3" i="1"/>
  <c r="E8" i="4" l="1"/>
  <c r="G9" i="4" s="1"/>
  <c r="D12" i="4"/>
  <c r="E6" i="3"/>
  <c r="E17" i="4"/>
  <c r="F16" i="1"/>
  <c r="H16" i="1" s="1"/>
  <c r="E5" i="4"/>
  <c r="E10" i="4"/>
  <c r="F41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7" i="1" s="1"/>
  <c r="E14" i="1"/>
  <c r="E27" i="4"/>
  <c r="F27" i="4"/>
  <c r="D16" i="1" l="1"/>
  <c r="D18" i="1"/>
  <c r="E47" i="1"/>
  <c r="E52" i="1" s="1"/>
  <c r="E31" i="4"/>
  <c r="F31" i="4"/>
  <c r="F47" i="1"/>
  <c r="F50" i="1" s="1"/>
  <c r="F32" i="4"/>
  <c r="E32" i="4"/>
  <c r="I38" i="1"/>
  <c r="B17" i="1" s="1"/>
  <c r="J17" i="1" l="1"/>
  <c r="D17" i="1"/>
  <c r="H17" i="1"/>
  <c r="F48" i="1"/>
  <c r="F51" i="1" s="1"/>
  <c r="E48" i="1"/>
  <c r="E51" i="1" s="1"/>
  <c r="E50" i="1"/>
  <c r="F52" i="1"/>
  <c r="E53" i="1" l="1"/>
  <c r="F53" i="1"/>
</calcChain>
</file>

<file path=xl/sharedStrings.xml><?xml version="1.0" encoding="utf-8"?>
<sst xmlns="http://schemas.openxmlformats.org/spreadsheetml/2006/main" count="421" uniqueCount="352">
  <si>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</si>
  <si>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</si>
  <si>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</si>
  <si>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</si>
  <si>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</si>
  <si>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</si>
  <si>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</si>
  <si>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</si>
  <si>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</si>
  <si>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</si>
  <si>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</si>
  <si>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</si>
  <si>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</si>
  <si>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</si>
  <si>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</si>
  <si>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</si>
  <si>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</si>
  <si>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</si>
  <si>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</si>
  <si>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</si>
  <si>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</si>
  <si>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</si>
  <si>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</si>
  <si>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</si>
  <si>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</si>
  <si>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</si>
  <si>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</si>
  <si>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</si>
  <si>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</si>
  <si>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</si>
  <si>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</si>
  <si>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</si>
  <si>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</si>
  <si>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</si>
  <si>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</si>
  <si>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</si>
  <si>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</si>
  <si>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</si>
  <si>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</si>
  <si>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</si>
  <si>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</si>
  <si>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</si>
  <si>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</si>
  <si>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</si>
  <si>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</si>
  <si>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</si>
  <si>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</si>
  <si>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</si>
  <si>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</si>
  <si>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</si>
  <si>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</si>
  <si>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</si>
  <si>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</si>
  <si>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</si>
  <si>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</si>
  <si>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</si>
  <si>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</si>
  <si>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</si>
  <si>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</si>
  <si>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</si>
  <si>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</si>
  <si>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</si>
  <si>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</si>
  <si>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</si>
  <si>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</si>
  <si>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</si>
  <si>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</si>
  <si>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</si>
  <si>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</si>
  <si>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</si>
  <si>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</si>
  <si>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</si>
  <si>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</si>
  <si>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</si>
  <si>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</si>
  <si>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</si>
  <si>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</si>
  <si>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</si>
  <si>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</si>
  <si>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</si>
  <si>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</si>
  <si>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</si>
  <si>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</si>
  <si>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</si>
  <si>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</si>
  <si>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</si>
  <si>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</si>
  <si>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</si>
  <si>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</si>
  <si>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</si>
  <si>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</si>
  <si>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</si>
  <si>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</si>
  <si>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</si>
  <si>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</si>
  <si>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</si>
  <si>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</si>
  <si>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</si>
  <si>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</si>
  <si>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</si>
  <si>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</si>
  <si>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</si>
  <si>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</si>
  <si>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</si>
  <si>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</si>
  <si>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</si>
  <si>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</si>
  <si>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</si>
  <si>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</si>
  <si>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</si>
  <si>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</si>
  <si>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</si>
  <si>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</si>
  <si>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</si>
  <si>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</si>
  <si>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</si>
  <si>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</si>
  <si>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</si>
  <si>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</si>
  <si>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</si>
  <si>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</si>
  <si>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</si>
  <si>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</si>
  <si>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</si>
  <si>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</si>
  <si>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</si>
  <si>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</si>
  <si>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</si>
  <si>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</si>
  <si>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</si>
  <si>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</si>
  <si>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</si>
  <si>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</si>
  <si>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</si>
  <si>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</si>
  <si>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</si>
  <si>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</si>
  <si>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</si>
  <si>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</si>
  <si>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</si>
  <si>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</si>
  <si>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</si>
  <si>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</si>
  <si>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</si>
  <si>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</si>
  <si>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</si>
  <si>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</si>
  <si>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</si>
  <si>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</si>
  <si>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</si>
  <si>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</si>
  <si>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</si>
  <si>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</si>
  <si>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</si>
  <si>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</si>
  <si>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</si>
  <si>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</si>
  <si>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</si>
  <si>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</si>
  <si>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</si>
  <si>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</si>
  <si>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</si>
  <si>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</si>
  <si>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</si>
  <si>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</si>
  <si>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</si>
  <si>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</si>
  <si>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</si>
  <si>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</si>
  <si>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</si>
  <si>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</si>
  <si>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</si>
  <si>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</si>
  <si>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</si>
  <si>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</si>
  <si>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</si>
  <si>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</si>
  <si>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</si>
  <si>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</si>
  <si>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</si>
  <si>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</si>
  <si>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</si>
  <si>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</si>
  <si>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</si>
  <si>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</si>
  <si>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</si>
  <si>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</si>
  <si>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</si>
  <si>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</si>
  <si>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</si>
  <si>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</si>
  <si>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</si>
  <si>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</si>
  <si>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</si>
  <si>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</si>
  <si>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</si>
  <si>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</si>
  <si>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</si>
  <si>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</si>
  <si>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</si>
  <si>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</si>
  <si>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</si>
  <si>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</si>
  <si>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</si>
  <si>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</si>
  <si>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</si>
  <si>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</si>
  <si>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</si>
  <si>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</si>
  <si>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</si>
  <si>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</si>
  <si>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</si>
  <si>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</si>
  <si>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</si>
  <si>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</si>
  <si>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</si>
  <si>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</si>
  <si>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</si>
  <si>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</si>
  <si>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</si>
  <si>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</si>
  <si>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</si>
  <si>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</si>
  <si>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</si>
  <si>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</si>
  <si>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</si>
  <si>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</si>
  <si>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</si>
  <si>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</si>
  <si>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</si>
  <si>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</si>
  <si>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</si>
  <si>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</si>
  <si>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</si>
  <si>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</si>
  <si>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</si>
  <si>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</si>
  <si>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</si>
  <si>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</si>
  <si>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</si>
  <si>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</si>
  <si>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</si>
  <si>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</si>
  <si>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</si>
  <si>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</si>
  <si>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</si>
  <si>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</si>
  <si>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</si>
  <si>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</si>
  <si>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</si>
  <si>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</si>
  <si>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</si>
  <si>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</si>
  <si>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</si>
  <si>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</si>
  <si>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</si>
  <si>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</si>
  <si>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</si>
  <si>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</si>
  <si>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</si>
  <si>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</si>
  <si>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</si>
  <si>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</si>
  <si>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</si>
  <si>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</si>
  <si>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</si>
  <si>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</si>
  <si>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</si>
  <si>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</si>
  <si>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</si>
  <si>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</si>
  <si>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</si>
  <si>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</si>
  <si>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</si>
  <si>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</si>
  <si>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</si>
  <si>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</si>
  <si>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</si>
  <si>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</si>
  <si>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</si>
  <si>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</si>
  <si>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</si>
  <si>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</si>
  <si>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</si>
  <si>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</si>
  <si>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</si>
  <si>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</si>
  <si>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</si>
  <si>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</si>
  <si>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</si>
  <si>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</si>
  <si>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</si>
  <si>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</si>
  <si>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</si>
  <si>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</si>
  <si>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</si>
  <si>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</si>
  <si>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</si>
  <si>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</si>
  <si>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</si>
  <si>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</si>
  <si>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</si>
  <si>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</si>
  <si>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</si>
  <si>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</si>
  <si>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</si>
  <si>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</si>
  <si>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</si>
  <si>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</si>
  <si>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</si>
  <si>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</si>
  <si>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</si>
  <si>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</si>
  <si>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</si>
  <si>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</si>
  <si>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</si>
  <si>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</si>
  <si>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</si>
  <si>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</si>
  <si>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</si>
  <si>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</si>
  <si>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</si>
  <si>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</si>
  <si>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</si>
  <si>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</si>
  <si>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</si>
  <si>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</si>
  <si>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</si>
  <si>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</si>
  <si>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</si>
  <si>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</si>
  <si>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</si>
  <si>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</si>
  <si>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</si>
  <si>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</si>
  <si>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</si>
  <si>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</si>
  <si>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</si>
  <si>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</si>
  <si>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</si>
  <si>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</si>
  <si>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</si>
  <si>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What Went Wrong?</t>
  </si>
  <si>
    <t>1. 香港大众住宅楼市场基本饱和、商业物业市场低迷、办公楼(特别九龙)供应量过大
2. 内地市场低迷
3. 上半年业绩很差，预计23年6月止年报的P&amp;L数字将很难看。</t>
  </si>
  <si>
    <t>Can it be Fixed?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</si>
  <si>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我认为是短期影响，而且开关后正在恢复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</si>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</sst>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C21" sqref="C21:J2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84" t="s">
        <v>324</v>
      </c>
      <c r="D3" s="385"/>
      <c r="E3" s="15"/>
      <c r="G3" s="7" t="s">
        <v>2</v>
      </c>
      <c r="I3" s="396" t="s">
        <v>3</v>
      </c>
      <c r="J3" s="397"/>
    </row>
    <row r="4" spans="1:12" ht="15.75" customHeight="1">
      <c r="B4" s="5" t="s">
        <v>4</v>
      </c>
      <c r="C4" s="386" t="s">
        <v>325</v>
      </c>
      <c r="D4" s="387"/>
      <c r="E4" s="6"/>
      <c r="G4" s="5" t="s">
        <v>5</v>
      </c>
      <c r="I4" s="32">
        <v>1.62</v>
      </c>
      <c r="J4" s="33" t="s">
        <v>6</v>
      </c>
      <c r="K4" s="149"/>
    </row>
    <row r="5" spans="1:12" ht="15.75" customHeight="1">
      <c r="B5" s="5" t="s">
        <v>7</v>
      </c>
      <c r="C5" s="388">
        <v>44931</v>
      </c>
      <c r="D5" s="387"/>
      <c r="E5" s="120" t="str">
        <f ca="1">IF(C5+30&gt;=TODAY(),"Patience Premium","")</f>
        <v/>
      </c>
      <c r="G5" s="5" t="s">
        <v>8</v>
      </c>
      <c r="I5" s="398">
        <v>1333330048</v>
      </c>
      <c r="J5" s="399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00">
        <f>I4*I5/1000000</f>
        <v>2159.9946777600003</v>
      </c>
      <c r="J6" s="401"/>
      <c r="K6" s="148"/>
    </row>
    <row r="7" spans="1:12" ht="15.75" customHeight="1">
      <c r="B7" s="136" t="s">
        <v>10</v>
      </c>
      <c r="C7" s="142">
        <f>(Data!C39*Exchange_Rate)/I4</f>
        <v>4.8565086808626971E-2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30.580368825414151</v>
      </c>
      <c r="J9" s="48">
        <f>IF(I9="NNI","NNI",1/I9)</f>
        <v>3.2700717434412989E-2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0.70199600466316692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15">
        <f ca="1">C12-D10</f>
        <v>5.1000000000000004E-2</v>
      </c>
      <c r="D11" s="416"/>
      <c r="E11" s="13"/>
      <c r="G11" s="5" t="s">
        <v>15</v>
      </c>
      <c r="H11" s="6"/>
      <c r="I11" s="413" t="s">
        <v>326</v>
      </c>
      <c r="J11" s="414"/>
    </row>
    <row r="12" spans="1:12" ht="15.75" customHeight="1" thickTop="1">
      <c r="B12" s="289" t="s">
        <v>143</v>
      </c>
      <c r="C12" s="411">
        <f ca="1">IF(C10="CN",8%,6%)*IF($C$5+30&gt;=TODAY(),1.2,1)</f>
        <v>0.08</v>
      </c>
      <c r="D12" s="412"/>
      <c r="G12" s="131" t="s">
        <v>16</v>
      </c>
      <c r="H12" s="130"/>
      <c r="I12" s="132">
        <v>1.0911999940872192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1.7039587277342774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1.62</v>
      </c>
      <c r="C16" s="432">
        <v>0.25</v>
      </c>
      <c r="D16" s="156">
        <f>I37/B16-(1+J27)</f>
        <v>-4.8130575367406392E-2</v>
      </c>
      <c r="E16" s="405" t="s">
        <v>23</v>
      </c>
      <c r="F16" s="402">
        <f>('FCFF Model'!G16)*Exchange_Rate</f>
        <v>1.9054417960219194</v>
      </c>
      <c r="G16" s="405" t="s">
        <v>24</v>
      </c>
      <c r="H16" s="355">
        <f>B16-$F$16</f>
        <v>-0.28544179602191933</v>
      </c>
      <c r="I16" s="423">
        <v>2.5100000000000001E-2</v>
      </c>
      <c r="J16" s="158">
        <f>I16/B16</f>
        <v>1.5493827160493827E-2</v>
      </c>
    </row>
    <row r="17" spans="1:10" ht="15.75" customHeight="1">
      <c r="B17" s="269">
        <f>(I37+I38)/2</f>
        <v>1.6145977250461119</v>
      </c>
      <c r="C17" s="433"/>
      <c r="D17" s="268">
        <f>I37/B17-(1+J27)</f>
        <v>-4.4276540863137148E-2</v>
      </c>
      <c r="E17" s="406"/>
      <c r="F17" s="403"/>
      <c r="G17" s="406"/>
      <c r="H17" s="356">
        <f>B17-$F$16</f>
        <v>-0.29084407097580756</v>
      </c>
      <c r="I17" s="424"/>
      <c r="J17" s="159">
        <f>I16/B17</f>
        <v>1.5545667884106031E-2</v>
      </c>
    </row>
    <row r="18" spans="1:10" ht="15.75" customHeight="1">
      <c r="B18" s="323">
        <f>C37</f>
        <v>1.37</v>
      </c>
      <c r="C18" s="434"/>
      <c r="D18" s="157">
        <f>I37/B18-(1+J27)</f>
        <v>0.16206457511299388</v>
      </c>
      <c r="E18" s="407"/>
      <c r="F18" s="404"/>
      <c r="G18" s="407"/>
      <c r="H18" s="357">
        <f>B18-$F$16</f>
        <v>-0.53544179602191933</v>
      </c>
      <c r="I18" s="425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91" t="s">
        <v>329</v>
      </c>
      <c r="D21" s="392"/>
      <c r="E21" s="392"/>
      <c r="F21" s="392"/>
      <c r="G21" s="392"/>
      <c r="H21" s="392"/>
      <c r="I21" s="392"/>
      <c r="J21" s="393"/>
    </row>
    <row r="22" spans="1:10" ht="52.5" customHeight="1">
      <c r="A22" s="6"/>
      <c r="B22" s="24" t="s">
        <v>27</v>
      </c>
      <c r="C22" s="409" t="s">
        <v>330</v>
      </c>
      <c r="D22" s="410"/>
      <c r="E22" s="410"/>
      <c r="F22" s="410"/>
      <c r="G22" s="409" t="s">
        <v>331</v>
      </c>
      <c r="H22" s="409"/>
      <c r="I22" s="410"/>
      <c r="J22" s="410"/>
    </row>
    <row r="23" spans="1:10" ht="52.5" customHeight="1">
      <c r="A23" s="6"/>
      <c r="B23" s="25" t="s">
        <v>28</v>
      </c>
      <c r="C23" s="394" t="s">
        <v>332</v>
      </c>
      <c r="D23" s="395"/>
      <c r="E23" s="395"/>
      <c r="F23" s="395"/>
      <c r="G23" s="394" t="s">
        <v>333</v>
      </c>
      <c r="H23" s="394"/>
      <c r="I23" s="395"/>
      <c r="J23" s="395"/>
    </row>
    <row r="24" spans="1:10" ht="52.5" customHeight="1">
      <c r="A24" s="6"/>
      <c r="B24" s="24" t="s">
        <v>342</v>
      </c>
      <c r="C24" s="435" t="s">
        <v>343</v>
      </c>
      <c r="D24" s="436"/>
      <c r="E24" s="436"/>
      <c r="F24" s="436"/>
      <c r="G24" s="436"/>
      <c r="H24" s="436"/>
      <c r="I24" s="436"/>
      <c r="J24" s="437"/>
    </row>
    <row r="25" spans="1:10" ht="52.5" customHeight="1">
      <c r="A25" s="6"/>
      <c r="B25" s="361" t="s">
        <v>344</v>
      </c>
      <c r="C25" s="370" t="s">
        <v>345</v>
      </c>
      <c r="D25" s="371"/>
      <c r="E25" s="371"/>
      <c r="F25" s="371"/>
      <c r="G25" s="371"/>
      <c r="H25" s="371"/>
      <c r="I25" s="371"/>
      <c r="J25" s="37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341</v>
      </c>
      <c r="I27" s="30"/>
      <c r="J27" s="359">
        <v>0.2</v>
      </c>
    </row>
    <row r="28" spans="1:10" ht="15.75" customHeight="1">
      <c r="B28" s="23" t="s">
        <v>31</v>
      </c>
      <c r="C28" s="389">
        <v>44932</v>
      </c>
      <c r="D28" s="390"/>
      <c r="E28" s="429" t="str">
        <f>IF(C28="","","Action_Planning")</f>
        <v>Action_Planning</v>
      </c>
      <c r="F28" s="430"/>
      <c r="G28" s="430"/>
      <c r="H28" s="431"/>
      <c r="I28" s="408" t="s">
        <v>32</v>
      </c>
      <c r="J28" s="408"/>
    </row>
    <row r="29" spans="1:10" ht="15.75" customHeight="1">
      <c r="B29" s="23" t="s">
        <v>33</v>
      </c>
      <c r="C29" s="422">
        <f>C33/D27</f>
        <v>0.15509090909090908</v>
      </c>
      <c r="D29" s="421"/>
      <c r="E29" s="420">
        <f>E33/D27</f>
        <v>0.12454545454545454</v>
      </c>
      <c r="F29" s="421"/>
      <c r="G29" s="427">
        <f>G33/D27</f>
        <v>0</v>
      </c>
      <c r="H29" s="428"/>
      <c r="I29" s="426">
        <f>C29+E29+G29</f>
        <v>0.27963636363636363</v>
      </c>
      <c r="J29" s="426"/>
    </row>
    <row r="30" spans="1:10" ht="15.75" customHeight="1">
      <c r="B30" s="23" t="s">
        <v>34</v>
      </c>
      <c r="C30" s="451">
        <v>60000</v>
      </c>
      <c r="D30" s="410"/>
      <c r="E30" s="451">
        <v>60000</v>
      </c>
      <c r="F30" s="410"/>
      <c r="G30" s="398"/>
      <c r="H30" s="399"/>
      <c r="I30" s="441">
        <f>C30+E30+G30</f>
        <v>120000</v>
      </c>
      <c r="J30" s="441"/>
    </row>
    <row r="31" spans="1:10" ht="15.75" customHeight="1">
      <c r="B31" s="23" t="s">
        <v>35</v>
      </c>
      <c r="C31" s="452">
        <v>1.706</v>
      </c>
      <c r="D31" s="410"/>
      <c r="E31" s="452">
        <v>1.37</v>
      </c>
      <c r="F31" s="410"/>
      <c r="G31" s="418"/>
      <c r="H31" s="419"/>
      <c r="I31" s="417"/>
      <c r="J31" s="417"/>
    </row>
    <row r="32" spans="1:10" ht="15.75" customHeight="1">
      <c r="B32" s="23" t="s">
        <v>36</v>
      </c>
      <c r="C32" s="439">
        <f>C31*$I$5/1000000</f>
        <v>2274.6610618879999</v>
      </c>
      <c r="D32" s="447"/>
      <c r="E32" s="439">
        <f>E31*$I$5/1000000</f>
        <v>1826.6621657600003</v>
      </c>
      <c r="F32" s="447"/>
      <c r="G32" s="380">
        <f>G31*$I$5/1000000</f>
        <v>0</v>
      </c>
      <c r="H32" s="381"/>
      <c r="I32" s="438"/>
      <c r="J32" s="438"/>
    </row>
    <row r="33" spans="2:11" ht="15.75" customHeight="1">
      <c r="B33" s="2" t="s">
        <v>37</v>
      </c>
      <c r="C33" s="448">
        <f>C30*C31</f>
        <v>102360</v>
      </c>
      <c r="D33" s="449"/>
      <c r="E33" s="440">
        <f>E30*E31</f>
        <v>82200</v>
      </c>
      <c r="F33" s="450"/>
      <c r="G33" s="382">
        <f>G30*G31</f>
        <v>0</v>
      </c>
      <c r="H33" s="383"/>
      <c r="I33" s="440">
        <f>C33+E33+G33</f>
        <v>184560</v>
      </c>
      <c r="J33" s="440"/>
    </row>
    <row r="34" spans="2:11" ht="15.75" customHeight="1">
      <c r="B34" s="1" t="s">
        <v>38</v>
      </c>
      <c r="C34" s="443"/>
      <c r="D34" s="444"/>
      <c r="E34" s="442">
        <f>IF(C33=0,"-",(C33+E33)/(C30+E30))</f>
        <v>1.538</v>
      </c>
      <c r="F34" s="421"/>
      <c r="G34" s="115"/>
      <c r="H34" s="115"/>
      <c r="I34" s="442">
        <f>IF(I33=0,"",I33/I30)</f>
        <v>1.538</v>
      </c>
      <c r="J34" s="442"/>
    </row>
    <row r="35" spans="2:11" ht="15.75" customHeight="1">
      <c r="B35" s="1" t="s">
        <v>39</v>
      </c>
      <c r="C35" s="445"/>
      <c r="D35" s="446"/>
      <c r="E35" s="439">
        <f>IF(E34="-","-",E34*$I$5/1000000)</f>
        <v>2050.6616138240001</v>
      </c>
      <c r="F35" s="447"/>
      <c r="G35" s="116"/>
      <c r="H35" s="116"/>
      <c r="I35" s="439">
        <f>IF(I34="","",I34*$I$5/1000000)</f>
        <v>2050.6616138240001</v>
      </c>
      <c r="J35" s="439"/>
    </row>
    <row r="36" spans="2:11" ht="15.75" customHeight="1"/>
    <row r="37" spans="2:11" ht="15.75" customHeight="1">
      <c r="B37" s="143" t="s">
        <v>286</v>
      </c>
      <c r="C37" s="376">
        <f>E31</f>
        <v>1.37</v>
      </c>
      <c r="D37" s="377"/>
      <c r="G37" s="378" t="s">
        <v>317</v>
      </c>
      <c r="H37" s="379"/>
      <c r="I37" s="374">
        <f>'FCFF Model'!C31</f>
        <v>1.8660284679048016</v>
      </c>
      <c r="J37" s="375"/>
    </row>
    <row r="38" spans="2:11" ht="15.75" customHeight="1">
      <c r="B38" s="143" t="s">
        <v>318</v>
      </c>
      <c r="C38" s="376">
        <f>E34</f>
        <v>1.538</v>
      </c>
      <c r="D38" s="377"/>
      <c r="G38" s="373" t="s">
        <v>315</v>
      </c>
      <c r="H38" s="373"/>
      <c r="I38" s="374">
        <f>'FCFF Model'!C32</f>
        <v>1.3631669821874219</v>
      </c>
      <c r="J38" s="375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0.64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80%-(5%*IF(LEFT(D20,2)="St",1,IF(LEFT(D20,2)="Sl",2,IF(LEFT(D20,2)="Cy",3,IF(LEFT(D20,2)="Fa",4,IF(LEFT(D20,2)="Tu",5,0))))))</f>
        <v>0.8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0.44088435374149659</v>
      </c>
      <c r="G43" s="331"/>
      <c r="H43" s="114"/>
      <c r="I43" s="114"/>
      <c r="J43" s="114"/>
    </row>
    <row r="44" spans="2:11" ht="15.75" customHeight="1">
      <c r="B44" s="3" t="s">
        <v>322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319</v>
      </c>
      <c r="F46" s="258" t="s">
        <v>320</v>
      </c>
    </row>
    <row r="47" spans="2:11" ht="15.75" customHeight="1">
      <c r="B47" s="3" t="s">
        <v>299</v>
      </c>
      <c r="E47" s="329">
        <f>I37/C31-1</f>
        <v>9.3803322335757056E-2</v>
      </c>
      <c r="F47" s="332">
        <f>I37/C38-1</f>
        <v>0.2132824888847864</v>
      </c>
    </row>
    <row r="48" spans="2:11" ht="15.75" customHeight="1">
      <c r="B48" s="3" t="s">
        <v>300</v>
      </c>
      <c r="E48" s="329">
        <f>I38/C31-1</f>
        <v>-0.20095722028873275</v>
      </c>
      <c r="F48" s="332">
        <f>I38/C38-1</f>
        <v>-0.11367556424744996</v>
      </c>
    </row>
    <row r="49" spans="2:9" ht="15.75" customHeight="1"/>
    <row r="50" spans="2:9" ht="15.75" customHeight="1">
      <c r="B50" s="3" t="s">
        <v>302</v>
      </c>
      <c r="E50" s="353">
        <f>IF(E47&lt;=0,0,AVERAGE(F41:F43,1-F44,E47/J27))</f>
        <v>0.56998019308405634</v>
      </c>
      <c r="F50" s="329">
        <f>IF(F47&lt;=0,0,AVERAGE(F41:F43,1-F44,F47/J27))</f>
        <v>0.68945935963308569</v>
      </c>
      <c r="G50" s="73"/>
    </row>
    <row r="51" spans="2:9" ht="15.75" customHeight="1">
      <c r="B51" s="3" t="s">
        <v>301</v>
      </c>
      <c r="D51" s="326"/>
      <c r="E51" s="328">
        <f>IF(E48&gt;=0,100,E47/ABS(E48))</f>
        <v>0.4667825430754946</v>
      </c>
      <c r="F51" s="328">
        <f>IF(F48&gt;=0,100,F47/ABS(F48))</f>
        <v>1.8762386648067233</v>
      </c>
      <c r="G51" s="73"/>
    </row>
    <row r="52" spans="2:9" ht="15.75" customHeight="1">
      <c r="B52" s="3" t="s">
        <v>340</v>
      </c>
      <c r="E52" s="358">
        <f>MAX(J27*2/E47,1)</f>
        <v>4.2642412874061213</v>
      </c>
      <c r="F52" s="358">
        <f>MAX(J27*2/F47,1)</f>
        <v>1.8754469815666723</v>
      </c>
      <c r="G52" s="330"/>
      <c r="H52" s="84"/>
      <c r="I52" s="84"/>
    </row>
    <row r="53" spans="2:9" ht="15.75" customHeight="1">
      <c r="B53" s="3" t="s">
        <v>339</v>
      </c>
      <c r="E53" s="327">
        <f>MIN(MAX(E50-ABS((1-E50)/E51),0)/E52,H53)</f>
        <v>0</v>
      </c>
      <c r="F53" s="327">
        <f>MIN(MAX(F50-ABS((1-F50)/F51),0)/F52,H53)</f>
        <v>0.27937181422995533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308</v>
      </c>
    </row>
    <row r="56" spans="2:9" ht="15.75" customHeight="1">
      <c r="B56" s="3" t="s">
        <v>309</v>
      </c>
    </row>
    <row r="57" spans="2:9" ht="15.75" customHeight="1">
      <c r="B57" s="3" t="s">
        <v>310</v>
      </c>
    </row>
    <row r="58" spans="2:9" ht="15.75" customHeight="1"/>
    <row r="59" spans="2:9" ht="15.75" customHeight="1">
      <c r="B59" s="3" t="s">
        <v>311</v>
      </c>
    </row>
    <row r="60" spans="2:9" ht="15.75" customHeight="1">
      <c r="B60" s="3" t="s">
        <v>323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0:J30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I32:J32"/>
    <mergeCell ref="I35:J35"/>
    <mergeCell ref="I33:J33"/>
    <mergeCell ref="I34:J34"/>
    <mergeCell ref="C34:D34"/>
    <mergeCell ref="C35:D35"/>
    <mergeCell ref="E35:F35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abSelected="1" topLeftCell="A43" zoomScaleNormal="100" workbookViewId="0">
      <selection activeCell="E52" sqref="E5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2505340</v>
      </c>
      <c r="F28" s="35">
        <v>1393000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2476810</v>
      </c>
      <c r="F29" s="137">
        <v>1323400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-38351.032800000001</v>
      </c>
      <c r="D34" s="140">
        <f>IF(E7="","",D30-E30+D33+IF($C$55="Yes",D57,0))</f>
        <v>30824.4568</v>
      </c>
      <c r="E34" s="140">
        <f t="shared" ref="E34:F34" si="11">IF(F7="","",E30-F30+E33+IF($C$55="Yes",E57,0))</f>
        <v>40938.171199999997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2.0574852330215074E-3</v>
      </c>
      <c r="F42" s="48">
        <f t="shared" si="22"/>
        <v>5.1987305425419371E-3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0.12390090479285856</v>
      </c>
      <c r="F43" s="14">
        <f t="shared" si="23"/>
        <v>7.6356354843584709E-3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363" t="s">
        <v>346</v>
      </c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6"/>
    </row>
    <row r="48" spans="1:14" ht="15.75" customHeight="1">
      <c r="A48" s="9"/>
      <c r="B48" s="165" t="s">
        <v>347</v>
      </c>
      <c r="C48" s="364">
        <f>C13</f>
        <v>4.0755265935096111E-2</v>
      </c>
      <c r="D48" s="364">
        <f>D13</f>
        <v>4.0700740522180902E-2</v>
      </c>
      <c r="E48" s="364">
        <f t="shared" ref="E48:M48" si="27">E13</f>
        <v>0.16197829338590986</v>
      </c>
      <c r="F48" s="364">
        <f t="shared" si="27"/>
        <v>0.16192039624057217</v>
      </c>
      <c r="G48" s="364" t="str">
        <f t="shared" si="27"/>
        <v/>
      </c>
      <c r="H48" s="364" t="str">
        <f t="shared" si="27"/>
        <v/>
      </c>
      <c r="I48" s="364" t="str">
        <f t="shared" si="27"/>
        <v/>
      </c>
      <c r="J48" s="364" t="str">
        <f t="shared" si="27"/>
        <v/>
      </c>
      <c r="K48" s="364" t="str">
        <f t="shared" si="27"/>
        <v/>
      </c>
      <c r="L48" s="364" t="str">
        <f t="shared" si="27"/>
        <v/>
      </c>
      <c r="M48" s="364" t="str">
        <f t="shared" si="27"/>
        <v/>
      </c>
      <c r="N48" s="6"/>
    </row>
    <row r="49" spans="1:14" ht="15.75" customHeight="1">
      <c r="A49" s="9"/>
      <c r="B49" s="139" t="s">
        <v>348</v>
      </c>
      <c r="C49" s="365">
        <f>C7/(C29+C21+C22)</f>
        <v>0.21518782982573623</v>
      </c>
      <c r="D49" s="365">
        <f>IF(D7="","",D7/(D29+D21+D22))</f>
        <v>0.27153287965223549</v>
      </c>
      <c r="E49" s="365">
        <f t="shared" ref="E49:M49" si="28">IF(E7="","",E7/(E29+E21+E22))</f>
        <v>0.3255920715748068</v>
      </c>
      <c r="F49" s="365">
        <f t="shared" si="28"/>
        <v>0.38825797760377201</v>
      </c>
      <c r="G49" s="365" t="str">
        <f t="shared" si="28"/>
        <v/>
      </c>
      <c r="H49" s="365" t="str">
        <f t="shared" si="28"/>
        <v/>
      </c>
      <c r="I49" s="365" t="str">
        <f t="shared" si="28"/>
        <v/>
      </c>
      <c r="J49" s="365" t="str">
        <f t="shared" si="28"/>
        <v/>
      </c>
      <c r="K49" s="365" t="str">
        <f t="shared" si="28"/>
        <v/>
      </c>
      <c r="L49" s="365" t="str">
        <f t="shared" si="28"/>
        <v/>
      </c>
      <c r="M49" s="365" t="str">
        <f t="shared" si="28"/>
        <v/>
      </c>
      <c r="N49" s="6"/>
    </row>
    <row r="50" spans="1:14" ht="15.75" customHeight="1">
      <c r="A50" s="9"/>
      <c r="B50" s="139" t="s">
        <v>349</v>
      </c>
      <c r="C50" s="366">
        <f>(C29+C21+C22)/C29</f>
        <v>2.3829647431282006</v>
      </c>
      <c r="D50" s="366">
        <f>IF(D29="","",(D29+D21+D22)/D29)</f>
        <v>2.3833257552507332</v>
      </c>
      <c r="E50" s="366">
        <f t="shared" ref="E50:M50" si="29">IF(E29="","",(E29+E21+E22)/E29)</f>
        <v>2.110728315857898</v>
      </c>
      <c r="F50" s="366">
        <f t="shared" si="29"/>
        <v>2.6923832552516247</v>
      </c>
      <c r="G50" s="366" t="str">
        <f t="shared" si="29"/>
        <v/>
      </c>
      <c r="H50" s="366" t="str">
        <f t="shared" si="29"/>
        <v/>
      </c>
      <c r="I50" s="366" t="str">
        <f t="shared" si="29"/>
        <v/>
      </c>
      <c r="J50" s="366" t="str">
        <f t="shared" si="29"/>
        <v/>
      </c>
      <c r="K50" s="366" t="str">
        <f t="shared" si="29"/>
        <v/>
      </c>
      <c r="L50" s="366" t="str">
        <f t="shared" si="29"/>
        <v/>
      </c>
      <c r="M50" s="366" t="str">
        <f t="shared" si="29"/>
        <v/>
      </c>
      <c r="N50" s="6"/>
    </row>
    <row r="51" spans="1:14" ht="15.75" customHeight="1">
      <c r="A51" s="9"/>
      <c r="B51" s="139" t="s">
        <v>350</v>
      </c>
      <c r="C51" s="367">
        <f>C48*C49*C50</f>
        <v>2.0898689516308248E-2</v>
      </c>
      <c r="D51" s="367">
        <f>IF(D48="","",D48*D49*D50)</f>
        <v>2.6339537362629725E-2</v>
      </c>
      <c r="E51" s="367">
        <f t="shared" ref="E51:M51" si="30">IF(E48="","",E48*E49*E50)</f>
        <v>0.11131738001703805</v>
      </c>
      <c r="F51" s="367">
        <f t="shared" si="30"/>
        <v>0.16926175003778149</v>
      </c>
      <c r="G51" s="367" t="str">
        <f t="shared" si="30"/>
        <v/>
      </c>
      <c r="H51" s="367" t="str">
        <f t="shared" si="30"/>
        <v/>
      </c>
      <c r="I51" s="367" t="str">
        <f t="shared" si="30"/>
        <v/>
      </c>
      <c r="J51" s="367" t="str">
        <f t="shared" si="30"/>
        <v/>
      </c>
      <c r="K51" s="367" t="str">
        <f t="shared" si="30"/>
        <v/>
      </c>
      <c r="L51" s="367" t="str">
        <f t="shared" si="30"/>
        <v/>
      </c>
      <c r="M51" s="367" t="str">
        <f t="shared" si="30"/>
        <v/>
      </c>
      <c r="N51" s="6"/>
    </row>
    <row r="52" spans="1:14" ht="15.75" customHeight="1">
      <c r="A52" s="9"/>
      <c r="B52" s="368" t="s">
        <v>351</v>
      </c>
      <c r="C52" s="369">
        <f>C35*C51</f>
        <v>-1.3636053679448659E-2</v>
      </c>
      <c r="D52" s="369">
        <f>IF(D35="","",D35*D51)</f>
        <v>1.1275476093191759E-2</v>
      </c>
      <c r="E52" s="369">
        <f t="shared" ref="E52:M52" si="31">IF(E35="","",E35*E51)</f>
        <v>1.6528587659126053E-2</v>
      </c>
      <c r="F52" s="369" t="str">
        <f t="shared" si="31"/>
        <v/>
      </c>
      <c r="G52" s="369" t="str">
        <f t="shared" si="31"/>
        <v/>
      </c>
      <c r="H52" s="369" t="str">
        <f t="shared" si="31"/>
        <v/>
      </c>
      <c r="I52" s="369" t="str">
        <f t="shared" si="31"/>
        <v/>
      </c>
      <c r="J52" s="369" t="str">
        <f t="shared" si="31"/>
        <v/>
      </c>
      <c r="K52" s="369" t="str">
        <f t="shared" si="31"/>
        <v/>
      </c>
      <c r="L52" s="369" t="str">
        <f t="shared" si="31"/>
        <v/>
      </c>
      <c r="M52" s="369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7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2.3017335621993449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1.5154409103729924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53">
        <f>D53+D54+D55</f>
        <v>16614</v>
      </c>
      <c r="E52" s="454"/>
      <c r="F52" s="53"/>
      <c r="G52" s="53"/>
    </row>
    <row r="53" spans="2:9" ht="14.5" thickTop="1">
      <c r="B53" s="58" t="s">
        <v>222</v>
      </c>
      <c r="C53" s="6"/>
      <c r="D53" s="456">
        <f>SUM(I11:I13)+SUM(I28:I30)</f>
        <v>16614</v>
      </c>
      <c r="E53" s="449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63">
        <v>0</v>
      </c>
      <c r="E54" s="410"/>
      <c r="F54" s="6" t="s">
        <v>130</v>
      </c>
      <c r="G54" s="6"/>
    </row>
    <row r="55" spans="2:9" ht="12.75" customHeight="1">
      <c r="B55" s="58" t="s">
        <v>128</v>
      </c>
      <c r="C55" s="6"/>
      <c r="D55" s="463">
        <v>0</v>
      </c>
      <c r="E55" s="410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55"/>
      <c r="E57" s="455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61">
        <f>((Dashboard!I6*Data!C4)+D52+E50-C58-C59)</f>
        <v>-679521.32223999966</v>
      </c>
      <c r="E60" s="462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59">
        <f>((C26-C11-C12-C14-C15-C16*G16-C19*G19-C20*G20)-I26)/Data!C7</f>
        <v>-0.20579547550468244</v>
      </c>
      <c r="E63" s="460"/>
    </row>
    <row r="64" spans="2:9" ht="15" customHeight="1">
      <c r="B64" s="3" t="s">
        <v>250</v>
      </c>
      <c r="D64" s="457">
        <v>8.5599999999999996E-2</v>
      </c>
      <c r="E64" s="458"/>
      <c r="F64" s="250" t="s">
        <v>236</v>
      </c>
    </row>
    <row r="65" spans="2:5" ht="15" customHeight="1">
      <c r="B65" s="271" t="s">
        <v>252</v>
      </c>
      <c r="D65" s="457">
        <v>8.5599999999999996E-2</v>
      </c>
      <c r="E65" s="45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66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66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67" t="s">
        <v>220</v>
      </c>
      <c r="F20" s="467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64" t="s">
        <v>145</v>
      </c>
      <c r="D26" s="465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1.7039587277342774</v>
      </c>
      <c r="D27" s="117" t="str">
        <f>Dashboard!J4</f>
        <v>HKD</v>
      </c>
      <c r="E27" s="118">
        <f>(C27-G16)/C9</f>
        <v>-165.95615070511087</v>
      </c>
      <c r="F27" s="155">
        <f>C27/(Data!C28*Exchange_Rate*Data!C4/Common_Shares)</f>
        <v>0.73837791295086153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2.0715602059794103</v>
      </c>
      <c r="D30" s="334" t="str">
        <f>D27</f>
        <v>HKD</v>
      </c>
      <c r="E30" s="118">
        <f>(C30-G16)/C9</f>
        <v>1278.6293048332193</v>
      </c>
      <c r="F30" s="155">
        <f>C30/(Asset_Model!I3*Exchange_Rate*Data!C4/Common_Shares)</f>
        <v>0.89999999999999991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1.8660284679048016</v>
      </c>
      <c r="D31" s="334" t="str">
        <f>D30</f>
        <v>HKD</v>
      </c>
      <c r="E31" s="118">
        <f>(C31-G16)/C9</f>
        <v>470.93897428427124</v>
      </c>
      <c r="F31" s="155">
        <f>C31/(Asset_Model!I3*Exchange_Rate*Data!C4/Common_Shares)</f>
        <v>0.81070567790729875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1.3631669821874219</v>
      </c>
      <c r="D32" s="334" t="str">
        <f>D30</f>
        <v>HKD</v>
      </c>
      <c r="E32" s="118">
        <f>(C32-G16)/C9</f>
        <v>-1505.1858005277311</v>
      </c>
      <c r="F32" s="155">
        <f>C32/(Asset_Model!I3*Exchange_Rate*Data!C4/Common_Shares)</f>
        <v>0.59223491570627018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2023-07-27T06:41:04Z</dcterms:modified>
  <cp:category/>
  <cp:contentStatus/>
</cp:coreProperties>
</file>