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D60E5A51-61F7-4E98-A4D2-4A16C2A58757}" xr6:coauthVersionLast="47" xr6:coauthVersionMax="47" xr10:uidLastSave="{00000000-0000-0000-0000-000000000000}"/>
  <bookViews>
    <workbookView xWindow="35250" yWindow="4110" windowWidth="8625" windowHeight="4635" activeTab="1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M52" i="2" l="1"/>
  <c r="L52" i="2"/>
  <c r="K52" i="2"/>
  <c r="J52" i="2"/>
  <c r="I52" i="2"/>
  <c r="H52" i="2"/>
  <c r="G52" i="2"/>
  <c r="F52" i="2"/>
  <c r="I51" i="2"/>
  <c r="H51" i="2"/>
  <c r="M50" i="2"/>
  <c r="L50" i="2"/>
  <c r="K50" i="2"/>
  <c r="J50" i="2"/>
  <c r="I50" i="2"/>
  <c r="H50" i="2"/>
  <c r="G50" i="2"/>
  <c r="F50" i="2"/>
  <c r="E50" i="2"/>
  <c r="D50" i="2"/>
  <c r="C50" i="2"/>
  <c r="M49" i="2"/>
  <c r="L49" i="2"/>
  <c r="K49" i="2"/>
  <c r="J49" i="2"/>
  <c r="I49" i="2"/>
  <c r="H49" i="2"/>
  <c r="G49" i="2"/>
  <c r="F49" i="2"/>
  <c r="E49" i="2"/>
  <c r="D49" i="2"/>
  <c r="C49" i="2"/>
  <c r="M48" i="2"/>
  <c r="M51" i="2" s="1"/>
  <c r="L48" i="2"/>
  <c r="L51" i="2" s="1"/>
  <c r="K48" i="2"/>
  <c r="K51" i="2" s="1"/>
  <c r="J48" i="2"/>
  <c r="J51" i="2" s="1"/>
  <c r="I48" i="2"/>
  <c r="H48" i="2"/>
  <c r="G48" i="2"/>
  <c r="G51" i="2" s="1"/>
  <c r="F48" i="2"/>
  <c r="F51" i="2" s="1"/>
  <c r="E48" i="2"/>
  <c r="E51" i="2" s="1"/>
  <c r="E52" i="2" s="1"/>
  <c r="D48" i="2"/>
  <c r="D51" i="2" s="1"/>
  <c r="D52" i="2" s="1"/>
  <c r="C48" i="2"/>
  <c r="C51" i="2" s="1"/>
  <c r="C52" i="2" s="1"/>
  <c r="F42" i="1"/>
  <c r="D6" i="4"/>
  <c r="C6" i="4"/>
  <c r="E12" i="7"/>
  <c r="E11" i="7"/>
  <c r="C12" i="7"/>
  <c r="E5" i="7"/>
  <c r="E4" i="7"/>
  <c r="C8" i="7" l="1"/>
  <c r="C37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6" i="7"/>
  <c r="G19" i="3"/>
  <c r="G20" i="3"/>
  <c r="G31" i="3"/>
  <c r="G33" i="3"/>
  <c r="G34" i="3"/>
  <c r="G35" i="3"/>
  <c r="D53" i="3"/>
  <c r="I53" i="3" s="1"/>
  <c r="I15" i="7"/>
  <c r="I18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4" i="7"/>
  <c r="I3" i="7" s="1"/>
  <c r="F3" i="4" s="1"/>
  <c r="B18" i="1"/>
  <c r="B15" i="1"/>
  <c r="G21" i="4"/>
  <c r="F21" i="4"/>
  <c r="C12" i="1"/>
  <c r="D33" i="2"/>
  <c r="D34" i="2" s="1"/>
  <c r="E6" i="1"/>
  <c r="C3" i="7" s="1"/>
  <c r="E28" i="1"/>
  <c r="E7" i="3"/>
  <c r="C23" i="4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F34" i="2"/>
  <c r="F35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8" i="7"/>
  <c r="I10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3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1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8" i="7"/>
  <c r="G10" i="7" s="1"/>
  <c r="G15" i="7" s="1"/>
  <c r="I17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K16" i="2" s="1"/>
  <c r="K45" i="2" s="1"/>
  <c r="M12" i="2"/>
  <c r="M10" i="2"/>
  <c r="L10" i="2"/>
  <c r="K10" i="2"/>
  <c r="H10" i="2"/>
  <c r="G10" i="2"/>
  <c r="D10" i="2"/>
  <c r="L14" i="2"/>
  <c r="L13" i="2" s="1"/>
  <c r="J14" i="2"/>
  <c r="J16" i="2" s="1"/>
  <c r="J45" i="2" s="1"/>
  <c r="I10" i="2"/>
  <c r="H14" i="2"/>
  <c r="H13" i="2" s="1"/>
  <c r="G14" i="2"/>
  <c r="G16" i="2" s="1"/>
  <c r="G45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44" i="2"/>
  <c r="M13" i="2"/>
  <c r="M44" i="2"/>
  <c r="L16" i="2"/>
  <c r="L45" i="2" s="1"/>
  <c r="L15" i="2"/>
  <c r="M16" i="2"/>
  <c r="M45" i="2" s="1"/>
  <c r="C46" i="2"/>
  <c r="G12" i="2"/>
  <c r="D14" i="2"/>
  <c r="D16" i="2" s="1"/>
  <c r="H12" i="2"/>
  <c r="L12" i="2"/>
  <c r="F10" i="2"/>
  <c r="J10" i="2"/>
  <c r="J12" i="2"/>
  <c r="E14" i="2"/>
  <c r="E13" i="2" s="1"/>
  <c r="I14" i="2"/>
  <c r="I13" i="2" s="1"/>
  <c r="K12" i="2"/>
  <c r="C33" i="2"/>
  <c r="C34" i="2" s="1"/>
  <c r="C22" i="4"/>
  <c r="H17" i="2"/>
  <c r="K17" i="2"/>
  <c r="J17" i="2"/>
  <c r="G17" i="2"/>
  <c r="I12" i="2"/>
  <c r="L17" i="2"/>
  <c r="I17" i="2"/>
  <c r="L44" i="2" l="1"/>
  <c r="G15" i="2"/>
  <c r="I15" i="2"/>
  <c r="F15" i="2"/>
  <c r="K13" i="2"/>
  <c r="H44" i="2"/>
  <c r="I44" i="2"/>
  <c r="J13" i="2"/>
  <c r="H16" i="2"/>
  <c r="H45" i="2" s="1"/>
  <c r="I16" i="2"/>
  <c r="I45" i="2" s="1"/>
  <c r="G13" i="2"/>
  <c r="K15" i="2"/>
  <c r="H15" i="2"/>
  <c r="K44" i="2"/>
  <c r="J44" i="2"/>
  <c r="J15" i="2"/>
  <c r="D4" i="7"/>
  <c r="D5" i="7"/>
  <c r="C25" i="3"/>
  <c r="I7" i="3" s="1"/>
  <c r="D36" i="5"/>
  <c r="E36" i="5" s="1"/>
  <c r="D6" i="5"/>
  <c r="E6" i="5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3" i="7"/>
  <c r="I16" i="7"/>
  <c r="C10" i="7"/>
  <c r="C15" i="7" s="1"/>
  <c r="C13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9" i="7"/>
  <c r="E9" i="7" s="1"/>
  <c r="E6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F4" i="7" l="1"/>
  <c r="F5" i="7"/>
  <c r="E8" i="7"/>
  <c r="E10" i="7" s="1"/>
  <c r="E15" i="7" s="1"/>
  <c r="G14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5" i="1"/>
  <c r="C38" i="1"/>
  <c r="D3" i="4"/>
  <c r="G3" i="7"/>
  <c r="E3" i="4" s="1"/>
  <c r="G4" i="4" s="1"/>
  <c r="B21" i="4" s="1"/>
  <c r="G2" i="4" s="1"/>
  <c r="E7" i="7"/>
  <c r="C18" i="7"/>
  <c r="C18" i="4"/>
  <c r="D18" i="4" s="1"/>
  <c r="D50" i="3"/>
  <c r="E25" i="3"/>
  <c r="D24" i="3"/>
  <c r="D49" i="3"/>
  <c r="F17" i="2"/>
  <c r="F45" i="2"/>
  <c r="E45" i="2"/>
  <c r="E17" i="2"/>
  <c r="C4" i="4" l="1"/>
  <c r="C7" i="4" s="1"/>
  <c r="C17" i="7"/>
  <c r="E45" i="3"/>
  <c r="I45" i="3" s="1"/>
  <c r="J45" i="3" s="1"/>
  <c r="D44" i="3"/>
  <c r="G18" i="4"/>
  <c r="G15" i="4"/>
  <c r="E13" i="7"/>
  <c r="E16" i="7"/>
  <c r="E14" i="7"/>
  <c r="C8" i="4"/>
  <c r="C9" i="4" s="1"/>
  <c r="J10" i="1"/>
  <c r="I25" i="3"/>
  <c r="J25" i="3" s="1"/>
  <c r="D25" i="3"/>
  <c r="D45" i="3" l="1"/>
  <c r="E18" i="7"/>
  <c r="E17" i="7" s="1"/>
  <c r="G16" i="7"/>
  <c r="G18" i="7" s="1"/>
  <c r="J26" i="3"/>
  <c r="D18" i="5" s="1"/>
  <c r="E64" i="5" s="1"/>
  <c r="D4" i="4" l="1"/>
  <c r="F18" i="4"/>
  <c r="E4" i="4"/>
  <c r="G17" i="7"/>
  <c r="D5" i="4"/>
  <c r="G16" i="4"/>
  <c r="E18" i="5"/>
  <c r="D64" i="5"/>
  <c r="E7" i="5" s="1"/>
  <c r="D7" i="5" s="1"/>
  <c r="D8" i="5" s="1"/>
  <c r="E8" i="5" s="1"/>
  <c r="F43" i="1"/>
  <c r="D6" i="3" l="1"/>
  <c r="D7" i="3" s="1"/>
  <c r="D7" i="4"/>
  <c r="D8" i="4" s="1"/>
  <c r="D9" i="4" s="1"/>
  <c r="D11" i="4"/>
  <c r="D12" i="4" s="1"/>
  <c r="E8" i="4"/>
  <c r="G9" i="4" s="1"/>
  <c r="E17" i="4"/>
  <c r="F16" i="1"/>
  <c r="H16" i="1" s="1"/>
  <c r="E5" i="4"/>
  <c r="E10" i="4"/>
  <c r="F41" i="1"/>
  <c r="E6" i="3" l="1"/>
  <c r="E11" i="4"/>
  <c r="G11" i="4" s="1"/>
  <c r="H18" i="1"/>
  <c r="E9" i="4"/>
  <c r="E12" i="4" l="1"/>
  <c r="E22" i="4"/>
  <c r="F22" i="4" s="1"/>
  <c r="E23" i="4"/>
  <c r="F23" i="4" s="1"/>
  <c r="G23" i="4" s="1"/>
  <c r="G22" i="4" l="1"/>
  <c r="G24" i="4" s="1"/>
  <c r="C30" i="4" s="1"/>
  <c r="C27" i="4" l="1"/>
  <c r="E27" i="4" s="1"/>
  <c r="E14" i="1" l="1"/>
  <c r="C32" i="4"/>
  <c r="E32" i="4" s="1"/>
  <c r="C31" i="4"/>
  <c r="I37" i="1" s="1"/>
  <c r="E47" i="1" s="1"/>
  <c r="E52" i="1" s="1"/>
  <c r="F27" i="4"/>
  <c r="F30" i="4"/>
  <c r="E30" i="4"/>
  <c r="F31" i="4" l="1"/>
  <c r="F32" i="4"/>
  <c r="D18" i="1"/>
  <c r="F47" i="1"/>
  <c r="F50" i="1" s="1"/>
  <c r="I38" i="1"/>
  <c r="B17" i="1" s="1"/>
  <c r="H17" i="1" s="1"/>
  <c r="D16" i="1"/>
  <c r="E31" i="4"/>
  <c r="E50" i="1"/>
  <c r="E48" i="1" l="1"/>
  <c r="E51" i="1" s="1"/>
  <c r="E53" i="1" s="1"/>
  <c r="D17" i="1"/>
  <c r="F52" i="1"/>
  <c r="J17" i="1"/>
  <c r="F48" i="1"/>
  <c r="F51" i="1" s="1"/>
  <c r="F53" i="1" l="1"/>
</calcChain>
</file>

<file path=xl/sharedStrings.xml><?xml version="1.0" encoding="utf-8"?>
<sst xmlns="http://schemas.openxmlformats.org/spreadsheetml/2006/main" count="422" uniqueCount="354">
  <si>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</si>
  <si>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</si>
  <si>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</si>
  <si>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</si>
  <si>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</si>
  <si>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</si>
  <si>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</si>
  <si>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</si>
  <si>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</si>
  <si>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</si>
  <si>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</si>
  <si>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</si>
  <si>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</si>
  <si>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</si>
  <si>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</si>
  <si>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</si>
  <si>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</si>
  <si>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</si>
  <si>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</si>
  <si>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</si>
  <si>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</si>
  <si>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</si>
  <si>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</si>
  <si>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</si>
  <si>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</si>
  <si>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</si>
  <si>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</si>
  <si>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</si>
  <si>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</si>
  <si>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</si>
  <si>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</si>
  <si>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</si>
  <si>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</si>
  <si>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</si>
  <si>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</si>
  <si>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</si>
  <si>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</si>
  <si>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</si>
  <si>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</si>
  <si>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</si>
  <si>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</si>
  <si>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</si>
  <si>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</si>
  <si>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</si>
  <si>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</si>
  <si>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</si>
  <si>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</si>
  <si>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</si>
  <si>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</si>
  <si>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</si>
  <si>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</si>
  <si>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</si>
  <si>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</si>
  <si>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</si>
  <si>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</si>
  <si>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</si>
  <si>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</si>
  <si>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</si>
  <si>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</si>
  <si>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</si>
  <si>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</si>
  <si>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</si>
  <si>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</si>
  <si>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</si>
  <si>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</si>
  <si>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</si>
  <si>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</si>
  <si>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</si>
  <si>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</si>
  <si>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</si>
  <si>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</si>
  <si>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</si>
  <si>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</si>
  <si>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</si>
  <si>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</si>
  <si>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</si>
  <si>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</si>
  <si>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</si>
  <si>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</si>
  <si>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</si>
  <si>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</si>
  <si>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</si>
  <si>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</si>
  <si>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</si>
  <si>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</si>
  <si>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</si>
  <si>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</si>
  <si>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</si>
  <si>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</si>
  <si>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</si>
  <si>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</si>
  <si>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</si>
  <si>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</si>
  <si>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</si>
  <si>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</si>
  <si>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</si>
  <si>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</si>
  <si>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</si>
  <si>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</si>
  <si>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</si>
  <si>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</si>
  <si>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</si>
  <si>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</si>
  <si>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</si>
  <si>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</si>
  <si>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</si>
  <si>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</si>
  <si>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</si>
  <si>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</si>
  <si>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</si>
  <si>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</si>
  <si>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</si>
  <si>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</si>
  <si>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</si>
  <si>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</si>
  <si>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</si>
  <si>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</si>
  <si>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</si>
  <si>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</si>
  <si>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</si>
  <si>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</si>
  <si>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</si>
  <si>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</si>
  <si>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</si>
  <si>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</si>
  <si>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</si>
  <si>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</si>
  <si>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</si>
  <si>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</si>
  <si>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</si>
  <si>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</si>
  <si>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</si>
  <si>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</si>
  <si>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</si>
  <si>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</si>
  <si>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</si>
  <si>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</si>
  <si>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</si>
  <si>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</si>
  <si>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</si>
  <si>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</si>
  <si>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</si>
  <si>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</si>
  <si>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</si>
  <si>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</si>
  <si>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</si>
  <si>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</si>
  <si>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</si>
  <si>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</si>
  <si>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</si>
  <si>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</si>
  <si>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</si>
  <si>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</si>
  <si>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</si>
  <si>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</si>
  <si>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</si>
  <si>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</si>
  <si>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</si>
  <si>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</si>
  <si>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</si>
  <si>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</si>
  <si>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</si>
  <si>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</si>
  <si>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</si>
  <si>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</si>
  <si>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</si>
  <si>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</si>
  <si>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</si>
  <si>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</si>
  <si>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</si>
  <si>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</si>
  <si>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</si>
  <si>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</si>
  <si>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</si>
  <si>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</si>
  <si>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</si>
  <si>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</si>
  <si>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</si>
  <si>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</si>
  <si>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</si>
  <si>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</si>
  <si>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</si>
  <si>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</si>
  <si>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</si>
  <si>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</si>
  <si>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</si>
  <si>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</si>
  <si>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</si>
  <si>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</si>
  <si>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</si>
  <si>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</si>
  <si>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</si>
  <si>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</si>
  <si>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</si>
  <si>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</si>
  <si>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</si>
  <si>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</si>
  <si>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</si>
  <si>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</si>
  <si>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</si>
  <si>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</si>
  <si>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</si>
  <si>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</si>
  <si>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</si>
  <si>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</si>
  <si>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</si>
  <si>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</si>
  <si>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</si>
  <si>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</si>
  <si>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</si>
  <si>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</si>
  <si>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</si>
  <si>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</si>
  <si>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</si>
  <si>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</si>
  <si>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</si>
  <si>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</si>
  <si>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</si>
  <si>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</si>
  <si>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</si>
  <si>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</si>
  <si>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</si>
  <si>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</si>
  <si>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</si>
  <si>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</si>
  <si>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</si>
  <si>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</si>
  <si>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</si>
  <si>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</si>
  <si>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</si>
  <si>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</si>
  <si>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</si>
  <si>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</si>
  <si>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</si>
  <si>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</si>
  <si>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</si>
  <si>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</si>
  <si>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</si>
  <si>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</si>
  <si>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</si>
  <si>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</si>
  <si>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</si>
  <si>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</si>
  <si>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</si>
  <si>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</si>
  <si>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</si>
  <si>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</si>
  <si>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</si>
  <si>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</si>
  <si>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</si>
  <si>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</si>
  <si>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</si>
  <si>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</si>
  <si>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</si>
  <si>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</si>
  <si>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</si>
  <si>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</si>
  <si>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</si>
  <si>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</si>
  <si>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</si>
  <si>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</si>
  <si>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</si>
  <si>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</si>
  <si>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</si>
  <si>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</si>
  <si>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</si>
  <si>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</si>
  <si>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</si>
  <si>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</si>
  <si>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</si>
  <si>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</si>
  <si>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</si>
  <si>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</si>
  <si>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</si>
  <si>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</si>
  <si>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</si>
  <si>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</si>
  <si>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</si>
  <si>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</si>
  <si>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</si>
  <si>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</si>
  <si>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</si>
  <si>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</si>
  <si>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</si>
  <si>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</si>
  <si>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</si>
  <si>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</si>
  <si>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</si>
  <si>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</si>
  <si>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</si>
  <si>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</si>
  <si>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</si>
  <si>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</si>
  <si>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</si>
  <si>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</si>
  <si>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</si>
  <si>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</si>
  <si>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</si>
  <si>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</si>
  <si>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</si>
  <si>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</si>
  <si>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</si>
  <si>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</si>
  <si>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</si>
  <si>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</si>
  <si>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</si>
  <si>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</si>
  <si>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</si>
  <si>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</si>
  <si>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</si>
  <si>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</si>
  <si>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</si>
  <si>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</si>
  <si>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</si>
  <si>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</si>
  <si>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</si>
  <si>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</si>
  <si>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</si>
  <si>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</si>
  <si>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</si>
  <si>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</si>
  <si>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</si>
  <si>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CNY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</si>
  <si>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</si>
  <si>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</si>
  <si>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</si>
  <si>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</si>
  <si>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</si>
  <si>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9982.HK</t>
  </si>
  <si>
    <t>CENTRALCHINA MT</t>
  </si>
  <si>
    <t>Projects in Henan Province</t>
  </si>
  <si>
    <t>outside Henan province</t>
  </si>
  <si>
    <t>listco not honest</t>
  </si>
  <si>
    <t>off-balance sheet debt and secret financial assistance exist</t>
  </si>
  <si>
    <t>Information Technology Like, 6.6y</t>
  </si>
  <si>
    <t>non-perishable</t>
  </si>
  <si>
    <t>河南代建龙头</t>
  </si>
  <si>
    <t>1. 老板胡葆森是经验丰富的地产元老之一，民企竞争力较强
2. 大中原(河南为中心)市场龙头，丰富的开发经验
3. 公司利润为正，在管项目较多</t>
  </si>
  <si>
    <t>1. 融资能力不如国资背景企业
2. 拿政府代建单子的能力不如国资背景企业
3. 民企开发商品牌现在号召力很弱</t>
  </si>
  <si>
    <t>1. 代建趋势(大中原中小房企多，代建需求多)
2. 房地产行业最终复苏</t>
  </si>
  <si>
    <t>1. 建业地产仍未走出债务危机，美元债违约
2. 中原建业秘密财务支援的担忧
3. 房地产中短期持续下行</t>
  </si>
  <si>
    <t>What Went Wrong?</t>
  </si>
  <si>
    <t>Can it be Fixed?</t>
  </si>
  <si>
    <t>1. 借了4个亿给建业地产，没有提前公告。很高的财务风险，而且感觉管理层不诚实
2. 轻资产业务说到底依赖母公司的总资产项目，未来第三方的新业务增长不确定</t>
  </si>
  <si>
    <t>a) Don't buy a mediocre value stock with low trading volume and mediocre dividend</t>
  </si>
  <si>
    <t>b) It's far better to buy a wonderful company at a fair price than a fair company at a wonderful price, but it takes more efforts on research</t>
  </si>
  <si>
    <t>a) Don't buy a High growth company with unproven products or products you don't trust</t>
  </si>
  <si>
    <t>b) Don't buy into unsustainable PE ratios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</si>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</sst>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24" fillId="0" borderId="0" xfId="0" applyFont="1"/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10" fontId="1" fillId="0" borderId="117" xfId="0" applyNumberFormat="1" applyFont="1" applyBorder="1" applyAlignment="1">
      <alignment horizontal="center"/>
    </xf>
    <xf numFmtId="10" fontId="1" fillId="0" borderId="118" xfId="0" applyNumberFormat="1" applyFont="1" applyBorder="1" applyAlignment="1">
      <alignment horizontal="center"/>
    </xf>
    <xf numFmtId="2" fontId="1" fillId="0" borderId="118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0" fontId="2" fillId="9" borderId="114" xfId="0" applyFont="1" applyFill="1" applyBorder="1" applyAlignment="1">
      <alignment horizontal="center" vertical="center" wrapText="1"/>
    </xf>
    <xf numFmtId="0" fontId="2" fillId="9" borderId="115" xfId="0" applyFont="1" applyFill="1" applyBorder="1" applyAlignment="1">
      <alignment horizontal="center" vertical="center" wrapText="1"/>
    </xf>
    <xf numFmtId="0" fontId="2" fillId="9" borderId="11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2" fillId="9" borderId="111" xfId="0" applyFont="1" applyFill="1" applyBorder="1" applyAlignment="1">
      <alignment horizontal="center" vertical="center" wrapText="1"/>
    </xf>
    <xf numFmtId="0" fontId="2" fillId="9" borderId="112" xfId="0" applyFont="1" applyFill="1" applyBorder="1" applyAlignment="1">
      <alignment horizontal="center" vertical="center" wrapText="1"/>
    </xf>
    <xf numFmtId="0" fontId="2" fillId="9" borderId="113" xfId="0" applyFont="1" applyFill="1" applyBorder="1" applyAlignment="1">
      <alignment horizontal="center" vertical="center" wrapText="1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zoomScaleNormal="100" workbookViewId="0">
      <selection activeCell="E59" sqref="E59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9982.HK : CENTRALCHINA MT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85" t="s">
        <v>328</v>
      </c>
      <c r="D3" s="386"/>
      <c r="E3" s="15"/>
      <c r="G3" s="7" t="s">
        <v>2</v>
      </c>
      <c r="I3" s="397" t="s">
        <v>3</v>
      </c>
      <c r="J3" s="398"/>
    </row>
    <row r="4" spans="1:12" ht="15.75" customHeight="1">
      <c r="B4" s="5" t="s">
        <v>4</v>
      </c>
      <c r="C4" s="387" t="s">
        <v>329</v>
      </c>
      <c r="D4" s="388"/>
      <c r="E4" s="6"/>
      <c r="G4" s="5" t="s">
        <v>5</v>
      </c>
      <c r="I4" s="32">
        <v>0.375</v>
      </c>
      <c r="J4" s="33" t="s">
        <v>6</v>
      </c>
      <c r="K4" s="149"/>
    </row>
    <row r="5" spans="1:12" ht="15.75" customHeight="1">
      <c r="B5" s="5" t="s">
        <v>7</v>
      </c>
      <c r="C5" s="389">
        <v>45058</v>
      </c>
      <c r="D5" s="388"/>
      <c r="E5" s="120" t="str">
        <f ca="1">IF(C5+30&gt;=TODAY(),"Patience Premium","")</f>
        <v/>
      </c>
      <c r="G5" s="5" t="s">
        <v>8</v>
      </c>
      <c r="I5" s="399">
        <v>3625799936</v>
      </c>
      <c r="J5" s="400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01">
        <f>I4*I5/1000000</f>
        <v>1359.674976</v>
      </c>
      <c r="J6" s="402"/>
      <c r="K6" s="148"/>
    </row>
    <row r="7" spans="1:12" ht="15.75" customHeight="1">
      <c r="B7" s="136" t="s">
        <v>10</v>
      </c>
      <c r="C7" s="142">
        <f>(Data!C39*Exchange_Rate)/I4</f>
        <v>0.35328019260184867</v>
      </c>
      <c r="D7" s="142">
        <f>(Data!C40*Exchange_Rate)/I4</f>
        <v>5.1427066655898362E-3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4.1058678528016337</v>
      </c>
      <c r="J9" s="48">
        <f>IF(I9="NNI","NNI",1/I9)</f>
        <v>0.24355386871928947</v>
      </c>
    </row>
    <row r="10" spans="1:12" ht="15.75" customHeight="1">
      <c r="B10" s="3" t="s">
        <v>255</v>
      </c>
      <c r="C10" s="279" t="s">
        <v>324</v>
      </c>
      <c r="D10" s="279">
        <v>2.8999999999999998E-2</v>
      </c>
      <c r="E10" s="5"/>
      <c r="G10" s="5" t="s">
        <v>14</v>
      </c>
      <c r="I10" s="135">
        <f>I4/(Data!C28*I12*Data!C4/Common_Shares)</f>
        <v>0.57211829479056153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416">
        <f ca="1">C12-D10</f>
        <v>5.1000000000000004E-2</v>
      </c>
      <c r="D11" s="417"/>
      <c r="E11" s="13"/>
      <c r="G11" s="5" t="s">
        <v>15</v>
      </c>
      <c r="H11" s="6"/>
      <c r="I11" s="414" t="s">
        <v>322</v>
      </c>
      <c r="J11" s="415"/>
    </row>
    <row r="12" spans="1:12" ht="15.75" customHeight="1" thickTop="1">
      <c r="B12" s="289" t="s">
        <v>143</v>
      </c>
      <c r="C12" s="412">
        <f ca="1">IF(C10="CN",8%,6%)*IF($C$5+30&gt;=TODAY(),1.2,1)</f>
        <v>0.08</v>
      </c>
      <c r="D12" s="413"/>
      <c r="G12" s="131" t="s">
        <v>16</v>
      </c>
      <c r="H12" s="130"/>
      <c r="I12" s="132">
        <v>1.0911999940872192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312</v>
      </c>
      <c r="D14" s="239"/>
      <c r="E14" s="190">
        <f ca="1">'FCFF Model'!C27</f>
        <v>0.17747257128176203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311</v>
      </c>
      <c r="J15" s="88" t="s">
        <v>20</v>
      </c>
    </row>
    <row r="16" spans="1:12" ht="15.75" customHeight="1">
      <c r="B16" s="128">
        <f>I4</f>
        <v>0.375</v>
      </c>
      <c r="C16" s="433">
        <v>0.25</v>
      </c>
      <c r="D16" s="156">
        <f ca="1">I37/B16-(1+J27)</f>
        <v>-0.52976095302240211</v>
      </c>
      <c r="E16" s="406" t="s">
        <v>23</v>
      </c>
      <c r="F16" s="403">
        <f>('FCFF Model'!G16)*Exchange_Rate</f>
        <v>0.28172877498361187</v>
      </c>
      <c r="G16" s="406" t="s">
        <v>24</v>
      </c>
      <c r="H16" s="355">
        <f>B16-$F$16</f>
        <v>9.3271225016388126E-2</v>
      </c>
      <c r="I16" s="424">
        <v>2.7E-2</v>
      </c>
      <c r="J16" s="158">
        <f>I16/B16</f>
        <v>7.1999999999999995E-2</v>
      </c>
    </row>
    <row r="17" spans="1:10" ht="15.75" customHeight="1">
      <c r="B17" s="269">
        <f ca="1">(I37+I38)/2</f>
        <v>0.1966588498210044</v>
      </c>
      <c r="C17" s="434"/>
      <c r="D17" s="268">
        <f ca="1">I37/B17-(1+J27)</f>
        <v>7.8048980991012318E-2</v>
      </c>
      <c r="E17" s="407"/>
      <c r="F17" s="404"/>
      <c r="G17" s="407"/>
      <c r="H17" s="356">
        <f ca="1">B17-$F$16</f>
        <v>-8.5069925162607474E-2</v>
      </c>
      <c r="I17" s="425"/>
      <c r="J17" s="159">
        <f ca="1">I16/B17</f>
        <v>0.13729359255672932</v>
      </c>
    </row>
    <row r="18" spans="1:10" ht="15.75" customHeight="1">
      <c r="B18" s="323">
        <f>C37</f>
        <v>0.19</v>
      </c>
      <c r="C18" s="435"/>
      <c r="D18" s="157">
        <f ca="1">I37/B18-(1+J27)</f>
        <v>0.12284022429789054</v>
      </c>
      <c r="E18" s="408"/>
      <c r="F18" s="405"/>
      <c r="G18" s="408"/>
      <c r="H18" s="357">
        <f>B18-$F$16</f>
        <v>-9.1728774983611872E-2</v>
      </c>
      <c r="I18" s="426"/>
      <c r="J18" s="160">
        <f>I16/B18</f>
        <v>0.14210526315789473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92" t="s">
        <v>336</v>
      </c>
      <c r="D21" s="393"/>
      <c r="E21" s="393"/>
      <c r="F21" s="393"/>
      <c r="G21" s="393"/>
      <c r="H21" s="393"/>
      <c r="I21" s="393"/>
      <c r="J21" s="394"/>
    </row>
    <row r="22" spans="1:10" ht="52.5" customHeight="1">
      <c r="A22" s="6"/>
      <c r="B22" s="24" t="s">
        <v>27</v>
      </c>
      <c r="C22" s="410" t="s">
        <v>337</v>
      </c>
      <c r="D22" s="411"/>
      <c r="E22" s="411"/>
      <c r="F22" s="411"/>
      <c r="G22" s="410" t="s">
        <v>338</v>
      </c>
      <c r="H22" s="410"/>
      <c r="I22" s="411"/>
      <c r="J22" s="411"/>
    </row>
    <row r="23" spans="1:10" ht="52.5" customHeight="1">
      <c r="A23" s="6"/>
      <c r="B23" s="25" t="s">
        <v>28</v>
      </c>
      <c r="C23" s="395" t="s">
        <v>339</v>
      </c>
      <c r="D23" s="396"/>
      <c r="E23" s="396"/>
      <c r="F23" s="396"/>
      <c r="G23" s="395" t="s">
        <v>340</v>
      </c>
      <c r="H23" s="395"/>
      <c r="I23" s="396"/>
      <c r="J23" s="396"/>
    </row>
    <row r="24" spans="1:10" ht="52.5" customHeight="1">
      <c r="A24" s="6"/>
      <c r="B24" s="24" t="s">
        <v>341</v>
      </c>
      <c r="C24" s="436" t="s">
        <v>343</v>
      </c>
      <c r="D24" s="437"/>
      <c r="E24" s="437"/>
      <c r="F24" s="437"/>
      <c r="G24" s="437"/>
      <c r="H24" s="437"/>
      <c r="I24" s="437"/>
      <c r="J24" s="438"/>
    </row>
    <row r="25" spans="1:10" ht="52.5" customHeight="1">
      <c r="A25" s="6"/>
      <c r="B25" s="361" t="s">
        <v>342</v>
      </c>
      <c r="C25" s="371"/>
      <c r="D25" s="372"/>
      <c r="E25" s="372"/>
      <c r="F25" s="372"/>
      <c r="G25" s="372"/>
      <c r="H25" s="372"/>
      <c r="I25" s="372"/>
      <c r="J25" s="373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4">
        <v>660000</v>
      </c>
      <c r="E27" s="12"/>
      <c r="F27" s="8"/>
      <c r="G27" s="12"/>
      <c r="H27" s="360" t="s">
        <v>327</v>
      </c>
      <c r="I27" s="30"/>
      <c r="J27" s="359">
        <v>0.2</v>
      </c>
    </row>
    <row r="28" spans="1:10" ht="15.75" customHeight="1">
      <c r="B28" s="23" t="s">
        <v>31</v>
      </c>
      <c r="C28" s="390"/>
      <c r="D28" s="391"/>
      <c r="E28" s="430" t="str">
        <f>IF(C28="","","Action_Planning")</f>
        <v/>
      </c>
      <c r="F28" s="431"/>
      <c r="G28" s="431"/>
      <c r="H28" s="432"/>
      <c r="I28" s="409" t="s">
        <v>32</v>
      </c>
      <c r="J28" s="409"/>
    </row>
    <row r="29" spans="1:10" ht="15.75" customHeight="1">
      <c r="B29" s="23" t="s">
        <v>33</v>
      </c>
      <c r="C29" s="423">
        <f>C33/D27</f>
        <v>0.2878787878787879</v>
      </c>
      <c r="D29" s="422"/>
      <c r="E29" s="421">
        <f>E33/D27</f>
        <v>0</v>
      </c>
      <c r="F29" s="422"/>
      <c r="G29" s="428">
        <f>G33/D27</f>
        <v>0</v>
      </c>
      <c r="H29" s="429"/>
      <c r="I29" s="427">
        <f>C29+E29+G29</f>
        <v>0.2878787878787879</v>
      </c>
      <c r="J29" s="427"/>
    </row>
    <row r="30" spans="1:10" ht="15.75" customHeight="1">
      <c r="B30" s="23" t="s">
        <v>34</v>
      </c>
      <c r="C30" s="452">
        <v>1000000</v>
      </c>
      <c r="D30" s="411"/>
      <c r="E30" s="452">
        <v>0</v>
      </c>
      <c r="F30" s="411"/>
      <c r="G30" s="399"/>
      <c r="H30" s="400"/>
      <c r="I30" s="442">
        <f>C30+E30+G30</f>
        <v>1000000</v>
      </c>
      <c r="J30" s="442"/>
    </row>
    <row r="31" spans="1:10" ht="15.75" customHeight="1">
      <c r="B31" s="23" t="s">
        <v>35</v>
      </c>
      <c r="C31" s="453">
        <v>0.19</v>
      </c>
      <c r="D31" s="411"/>
      <c r="E31" s="453">
        <v>0.19</v>
      </c>
      <c r="F31" s="411"/>
      <c r="G31" s="419"/>
      <c r="H31" s="420"/>
      <c r="I31" s="418"/>
      <c r="J31" s="418"/>
    </row>
    <row r="32" spans="1:10" ht="15.75" customHeight="1">
      <c r="B32" s="23" t="s">
        <v>36</v>
      </c>
      <c r="C32" s="440">
        <f>C31*$I$5/1000000</f>
        <v>688.90198784000006</v>
      </c>
      <c r="D32" s="448"/>
      <c r="E32" s="440">
        <f>E31*$I$5/1000000</f>
        <v>688.90198784000006</v>
      </c>
      <c r="F32" s="448"/>
      <c r="G32" s="381">
        <f>G31*$I$5/1000000</f>
        <v>0</v>
      </c>
      <c r="H32" s="382"/>
      <c r="I32" s="439"/>
      <c r="J32" s="439"/>
    </row>
    <row r="33" spans="2:11" ht="15.75" customHeight="1">
      <c r="B33" s="2" t="s">
        <v>37</v>
      </c>
      <c r="C33" s="449">
        <f>C30*C31</f>
        <v>190000</v>
      </c>
      <c r="D33" s="450"/>
      <c r="E33" s="441">
        <f>E30*E31</f>
        <v>0</v>
      </c>
      <c r="F33" s="451"/>
      <c r="G33" s="383">
        <f>G30*G31</f>
        <v>0</v>
      </c>
      <c r="H33" s="384"/>
      <c r="I33" s="441">
        <f>C33+E33+G33</f>
        <v>190000</v>
      </c>
      <c r="J33" s="441"/>
    </row>
    <row r="34" spans="2:11" ht="15.75" customHeight="1">
      <c r="B34" s="1" t="s">
        <v>38</v>
      </c>
      <c r="C34" s="444"/>
      <c r="D34" s="445"/>
      <c r="E34" s="443">
        <f>IF(C33=0,"-",(C33+E33)/(C30+E30))</f>
        <v>0.19</v>
      </c>
      <c r="F34" s="422"/>
      <c r="G34" s="115"/>
      <c r="H34" s="115"/>
      <c r="I34" s="443">
        <f>IF(I33=0,"",I33/I30)</f>
        <v>0.19</v>
      </c>
      <c r="J34" s="443"/>
    </row>
    <row r="35" spans="2:11" ht="15.75" customHeight="1">
      <c r="B35" s="1" t="s">
        <v>39</v>
      </c>
      <c r="C35" s="446"/>
      <c r="D35" s="447"/>
      <c r="E35" s="440">
        <f>IF(E34="-","-",E34*$I$5/1000000)</f>
        <v>688.90198784000006</v>
      </c>
      <c r="F35" s="448"/>
      <c r="G35" s="116"/>
      <c r="H35" s="116"/>
      <c r="I35" s="440">
        <f>IF(I34="","",I34*$I$5/1000000)</f>
        <v>688.90198784000006</v>
      </c>
      <c r="J35" s="440"/>
    </row>
    <row r="36" spans="2:11" ht="15.75" customHeight="1"/>
    <row r="37" spans="2:11" ht="15.75" customHeight="1">
      <c r="B37" s="143" t="s">
        <v>286</v>
      </c>
      <c r="C37" s="377">
        <f>E31</f>
        <v>0.19</v>
      </c>
      <c r="D37" s="378"/>
      <c r="G37" s="379" t="s">
        <v>316</v>
      </c>
      <c r="H37" s="380"/>
      <c r="I37" s="375">
        <f ca="1">'FCFF Model'!C31</f>
        <v>0.25133964261659919</v>
      </c>
      <c r="J37" s="376"/>
    </row>
    <row r="38" spans="2:11" ht="15.75" customHeight="1">
      <c r="B38" s="143" t="s">
        <v>317</v>
      </c>
      <c r="C38" s="377">
        <f>E34</f>
        <v>0.19</v>
      </c>
      <c r="D38" s="378"/>
      <c r="G38" s="374" t="s">
        <v>314</v>
      </c>
      <c r="H38" s="374"/>
      <c r="I38" s="375">
        <f ca="1">'FCFF Model'!C32</f>
        <v>0.14197805702540961</v>
      </c>
      <c r="J38" s="376"/>
    </row>
    <row r="39" spans="2:11" ht="15.75" customHeight="1"/>
    <row r="40" spans="2:11" ht="15.75" customHeight="1">
      <c r="B40" s="21" t="s">
        <v>296</v>
      </c>
      <c r="G40" s="319" t="s">
        <v>134</v>
      </c>
      <c r="H40" s="130"/>
      <c r="I40" s="130"/>
      <c r="J40" s="130"/>
      <c r="K40" s="324"/>
    </row>
    <row r="41" spans="2:11" ht="15.75" customHeight="1">
      <c r="B41" s="3" t="s">
        <v>298</v>
      </c>
      <c r="F41" s="208">
        <f>'Qualitative Analysis'!E8</f>
        <v>0.18</v>
      </c>
      <c r="G41" s="331"/>
      <c r="H41" s="114"/>
      <c r="I41" s="114"/>
      <c r="J41" s="114"/>
    </row>
    <row r="42" spans="2:11" ht="15.75" customHeight="1">
      <c r="B42" s="3" t="s">
        <v>297</v>
      </c>
      <c r="F42" s="208">
        <f>80%-(5%*IF(LEFT(D20,2)="St",2,IF(LEFT(D20,2)="Sl",3,IF(LEFT(D20,2)="Cy",4,IF(LEFT(D20,2)="Tu",5,IF(LEFT(D20,2)="Fa",6,0))))))</f>
        <v>0.8</v>
      </c>
      <c r="G42" s="73"/>
      <c r="H42" s="73"/>
      <c r="I42" s="73"/>
      <c r="J42" s="73"/>
    </row>
    <row r="43" spans="2:11" ht="15.75" customHeight="1">
      <c r="B43" s="3" t="s">
        <v>303</v>
      </c>
      <c r="F43" s="329">
        <f>'Qualitative Analysis'!E64</f>
        <v>0.36766156462585037</v>
      </c>
      <c r="G43" s="331"/>
      <c r="H43" s="114"/>
      <c r="I43" s="114"/>
      <c r="J43" s="114"/>
    </row>
    <row r="44" spans="2:11" ht="15.75" customHeight="1">
      <c r="B44" s="3" t="s">
        <v>321</v>
      </c>
      <c r="F44" s="332">
        <v>0.5</v>
      </c>
      <c r="G44" s="73"/>
      <c r="H44" s="73"/>
      <c r="I44" s="73"/>
      <c r="J44" s="73"/>
    </row>
    <row r="45" spans="2:11" ht="15.75" customHeight="1">
      <c r="G45" s="114"/>
      <c r="H45" s="114"/>
      <c r="I45" s="114"/>
      <c r="J45" s="114"/>
    </row>
    <row r="46" spans="2:11" ht="15.75" customHeight="1">
      <c r="E46" s="258" t="s">
        <v>318</v>
      </c>
      <c r="F46" s="258" t="s">
        <v>319</v>
      </c>
    </row>
    <row r="47" spans="2:11" ht="15.75" customHeight="1">
      <c r="B47" s="3" t="s">
        <v>299</v>
      </c>
      <c r="E47" s="329">
        <f ca="1">I37/C31-1</f>
        <v>0.3228402242978905</v>
      </c>
      <c r="F47" s="332">
        <f ca="1">I37/C38-1</f>
        <v>0.3228402242978905</v>
      </c>
    </row>
    <row r="48" spans="2:11" ht="15.75" customHeight="1">
      <c r="B48" s="3" t="s">
        <v>300</v>
      </c>
      <c r="E48" s="329">
        <f ca="1">I38/C31-1</f>
        <v>-0.25274706828731786</v>
      </c>
      <c r="F48" s="332">
        <f ca="1">I38/C38-1</f>
        <v>-0.25274706828731786</v>
      </c>
    </row>
    <row r="49" spans="2:9" ht="15.75" customHeight="1"/>
    <row r="50" spans="2:9" ht="15.75" customHeight="1">
      <c r="B50" s="3" t="s">
        <v>302</v>
      </c>
      <c r="E50" s="353">
        <f ca="1">IF(E47&lt;=0,0,AVERAGE(F41:F43,1-F44,E47/J27))</f>
        <v>0.69237253722306058</v>
      </c>
      <c r="F50" s="329">
        <f ca="1">IF(F47&lt;=0,0,AVERAGE(F41:F43,1-F44,F47/J27))</f>
        <v>0.69237253722306058</v>
      </c>
      <c r="G50" s="73"/>
    </row>
    <row r="51" spans="2:9" ht="15.75" customHeight="1">
      <c r="B51" s="3" t="s">
        <v>301</v>
      </c>
      <c r="D51" s="326"/>
      <c r="E51" s="328">
        <f ca="1">IF(E48&gt;=0,100,E47/ABS(E48))</f>
        <v>1.2773252979175693</v>
      </c>
      <c r="F51" s="328">
        <f ca="1">IF(F48&gt;=0,100,F47/ABS(F48))</f>
        <v>1.2773252979175693</v>
      </c>
      <c r="G51" s="73"/>
    </row>
    <row r="52" spans="2:9" ht="15.75" customHeight="1">
      <c r="B52" s="3" t="s">
        <v>326</v>
      </c>
      <c r="E52" s="358">
        <f ca="1">MAX(J27*2/E47,1)</f>
        <v>1.2390029800961631</v>
      </c>
      <c r="F52" s="358">
        <f ca="1">MAX(J27*2/F47,1)</f>
        <v>1.2390029800961631</v>
      </c>
      <c r="G52" s="330"/>
      <c r="H52" s="84"/>
      <c r="I52" s="84"/>
    </row>
    <row r="53" spans="2:9" ht="15.75" customHeight="1">
      <c r="B53" s="3" t="s">
        <v>325</v>
      </c>
      <c r="E53" s="327">
        <f ca="1">MIN(MAX(E50-ABS((1-E50)/E51),0)/E52,H53)</f>
        <v>0.36443441468313742</v>
      </c>
      <c r="F53" s="327">
        <f ca="1">MIN(MAX(F50-ABS((1-F50)/F51),0)/F52,H53)</f>
        <v>0.36443441468313742</v>
      </c>
      <c r="G53" s="330" t="s">
        <v>304</v>
      </c>
      <c r="H53" s="77">
        <v>0.4</v>
      </c>
    </row>
    <row r="54" spans="2:9" ht="15.75" customHeight="1"/>
    <row r="55" spans="2:9" ht="15.75" customHeight="1">
      <c r="B55" s="21" t="s">
        <v>308</v>
      </c>
    </row>
    <row r="56" spans="2:9" ht="15.75" customHeight="1">
      <c r="B56" s="362" t="s">
        <v>309</v>
      </c>
    </row>
    <row r="57" spans="2:9" ht="15.75" customHeight="1">
      <c r="B57" s="3" t="s">
        <v>344</v>
      </c>
    </row>
    <row r="58" spans="2:9" ht="15.75" customHeight="1">
      <c r="B58" s="3" t="s">
        <v>345</v>
      </c>
    </row>
    <row r="59" spans="2:9" ht="15.75" customHeight="1"/>
    <row r="60" spans="2:9" ht="15.75" customHeight="1">
      <c r="B60" s="362" t="s">
        <v>310</v>
      </c>
    </row>
    <row r="61" spans="2:9" ht="15.75" customHeight="1">
      <c r="B61" s="3" t="s">
        <v>346</v>
      </c>
    </row>
    <row r="62" spans="2:9" ht="15.75" customHeight="1">
      <c r="B62" s="3" t="s">
        <v>347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6">
    <mergeCell ref="C33:D33"/>
    <mergeCell ref="E33:F33"/>
    <mergeCell ref="E34:F34"/>
    <mergeCell ref="C32:D32"/>
    <mergeCell ref="C30:D30"/>
    <mergeCell ref="E31:F31"/>
    <mergeCell ref="E32:F32"/>
    <mergeCell ref="E30:F30"/>
    <mergeCell ref="C31:D31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C24:J24"/>
    <mergeCell ref="I30:J30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5:J25"/>
    <mergeCell ref="G38:H38"/>
    <mergeCell ref="I38:J38"/>
    <mergeCell ref="C38:D38"/>
    <mergeCell ref="C37:D37"/>
    <mergeCell ref="I37:J37"/>
    <mergeCell ref="G37:H37"/>
    <mergeCell ref="G32:H32"/>
    <mergeCell ref="G33:H33"/>
    <mergeCell ref="I32:J32"/>
    <mergeCell ref="I35:J35"/>
    <mergeCell ref="I33:J33"/>
    <mergeCell ref="I34:J34"/>
    <mergeCell ref="C34:D34"/>
    <mergeCell ref="C35:D35"/>
    <mergeCell ref="E35:F35"/>
  </mergeCells>
  <phoneticPr fontId="31" type="noConversion"/>
  <conditionalFormatting sqref="B16">
    <cfRule type="cellIs" dxfId="18" priority="9" operator="lessThan">
      <formula>$B$18</formula>
    </cfRule>
  </conditionalFormatting>
  <conditionalFormatting sqref="C37:D38 I37:J38">
    <cfRule type="containsBlanks" priority="2">
      <formula>LEN(TRIM(C37))=0</formula>
    </cfRule>
  </conditionalFormatting>
  <conditionalFormatting sqref="C28:E28 I28 C30:G31 I30:I31">
    <cfRule type="containsBlanks" priority="26">
      <formula>LEN(TRIM(C28))=0</formula>
    </cfRule>
  </conditionalFormatting>
  <conditionalFormatting sqref="D16 D18">
    <cfRule type="cellIs" dxfId="17" priority="22" operator="lessThan">
      <formula>0</formula>
    </cfRule>
  </conditionalFormatting>
  <conditionalFormatting sqref="E14">
    <cfRule type="cellIs" dxfId="16" priority="14" operator="greaterThan">
      <formula>$B$16</formula>
    </cfRule>
  </conditionalFormatting>
  <conditionalFormatting sqref="E51:F51">
    <cfRule type="cellIs" dxfId="15" priority="5" operator="lessThan">
      <formula>1</formula>
    </cfRule>
  </conditionalFormatting>
  <conditionalFormatting sqref="E52:F52">
    <cfRule type="containsBlanks" priority="1">
      <formula>LEN(TRIM(E52))=0</formula>
    </cfRule>
  </conditionalFormatting>
  <conditionalFormatting sqref="E28:H28">
    <cfRule type="containsBlanks" dxfId="14" priority="10">
      <formula>LEN(TRIM(E28))=0</formula>
    </cfRule>
  </conditionalFormatting>
  <conditionalFormatting sqref="F16">
    <cfRule type="cellIs" dxfId="13" priority="17" operator="greaterThan">
      <formula>$B$16</formula>
    </cfRule>
  </conditionalFormatting>
  <conditionalFormatting sqref="G16">
    <cfRule type="cellIs" dxfId="12" priority="32" operator="lessThan">
      <formula>0</formula>
    </cfRule>
  </conditionalFormatting>
  <conditionalFormatting sqref="K40">
    <cfRule type="containsBlanks" priority="11">
      <formula>LEN(TRIM(K40))=0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abSelected="1" topLeftCell="A40" zoomScaleNormal="100" workbookViewId="0">
      <selection activeCell="F52" sqref="F52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303477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605679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605679</v>
      </c>
      <c r="D7" s="35">
        <v>1301449</v>
      </c>
      <c r="E7" s="35">
        <v>1152082</v>
      </c>
      <c r="F7" s="35">
        <v>1028995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-0.53461180576419054</v>
      </c>
      <c r="D8" s="14">
        <f t="shared" si="1"/>
        <v>0.1296496256342865</v>
      </c>
      <c r="E8" s="14">
        <f t="shared" si="1"/>
        <v>0.11961865703914976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0</v>
      </c>
      <c r="D9" s="35">
        <v>0</v>
      </c>
      <c r="E9" s="35">
        <v>0</v>
      </c>
      <c r="F9" s="35">
        <v>0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1</v>
      </c>
      <c r="D10" s="14">
        <f t="shared" si="2"/>
        <v>1</v>
      </c>
      <c r="E10" s="14">
        <f t="shared" si="2"/>
        <v>1</v>
      </c>
      <c r="F10" s="14">
        <f t="shared" si="2"/>
        <v>1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0</v>
      </c>
      <c r="D11" s="35">
        <v>19711</v>
      </c>
      <c r="E11" s="35">
        <v>47426</v>
      </c>
      <c r="F11" s="35">
        <v>26016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</v>
      </c>
      <c r="D12" s="14">
        <f t="shared" si="3"/>
        <v>1.514542636707239E-2</v>
      </c>
      <c r="E12" s="14">
        <f t="shared" si="3"/>
        <v>4.1165472596568664E-2</v>
      </c>
      <c r="F12" s="14">
        <f t="shared" si="3"/>
        <v>2.5282921685722437E-2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1</v>
      </c>
      <c r="D13" s="14">
        <f t="shared" si="4"/>
        <v>0.98485457363292761</v>
      </c>
      <c r="E13" s="14">
        <f t="shared" si="4"/>
        <v>0.95883452740343134</v>
      </c>
      <c r="F13" s="14">
        <f t="shared" si="4"/>
        <v>0.97471707831427756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605679</v>
      </c>
      <c r="D14" s="27">
        <f t="shared" si="5"/>
        <v>1281738</v>
      </c>
      <c r="E14" s="27">
        <f t="shared" si="5"/>
        <v>1104656</v>
      </c>
      <c r="F14" s="27">
        <f t="shared" si="5"/>
        <v>1002979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-0.52745490888153435</v>
      </c>
      <c r="D15" s="14">
        <f t="shared" ref="D15:M15" si="6">IF(E14="","",IF(ABS(D14+E14)=ABS(D14)+ABS(E14),IF(D14&lt;0,-1,1)*(D14-E14)/E14,"Turn"))</f>
        <v>0.16030510855868252</v>
      </c>
      <c r="E15" s="14">
        <f t="shared" si="6"/>
        <v>0.10137500386349066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IF(C14="","",C14*(1-Operation!$D$16))</f>
        <v>605679</v>
      </c>
      <c r="D16" s="140">
        <f>IF(D14="","",D14*(1-Operation!$D$16))</f>
        <v>1281738</v>
      </c>
      <c r="E16" s="140">
        <f>IF(E14="","",E14*(1-Operation!$D$16))</f>
        <v>1104656</v>
      </c>
      <c r="F16" s="140">
        <f>IF(F14="","",F14*(1-Operation!$D$16))</f>
        <v>1002979</v>
      </c>
      <c r="G16" s="140" t="str">
        <f>IF(G14="","",G14*(1-Operation!$D$16))</f>
        <v/>
      </c>
      <c r="H16" s="140" t="str">
        <f>IF(H14="","",H14*(1-Operation!$D$16))</f>
        <v/>
      </c>
      <c r="I16" s="140" t="str">
        <f>IF(I14="","",I14*(1-Operation!$D$16))</f>
        <v/>
      </c>
      <c r="J16" s="140" t="str">
        <f>IF(J14="","",J14*(1-Operation!$D$16))</f>
        <v/>
      </c>
      <c r="K16" s="140" t="str">
        <f>IF(K14="","",K14*(1-Operation!$D$16))</f>
        <v/>
      </c>
      <c r="L16" s="140" t="str">
        <f>IF(L14="","",L14*(1-Operation!$D$16))</f>
        <v/>
      </c>
      <c r="M16" s="231" t="str">
        <f>IF(M14="","",M14*(1-Operation!$D$16))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1</v>
      </c>
      <c r="D17" s="126">
        <f t="shared" si="7"/>
        <v>0.98485457363292761</v>
      </c>
      <c r="E17" s="126">
        <f t="shared" si="7"/>
        <v>0.95883452740343134</v>
      </c>
      <c r="F17" s="126">
        <f t="shared" si="7"/>
        <v>0.97471707831427756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211</v>
      </c>
      <c r="D18" s="141">
        <v>413</v>
      </c>
      <c r="E18" s="141">
        <v>389</v>
      </c>
      <c r="F18" s="141">
        <v>242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303477</v>
      </c>
      <c r="D19" s="35">
        <v>770155</v>
      </c>
      <c r="E19" s="35">
        <v>681470</v>
      </c>
      <c r="F19" s="35">
        <v>641097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-0.60595334705351522</v>
      </c>
      <c r="D20" s="14">
        <f t="shared" ref="D20:M20" si="8">IF(E19="","",IF(ABS(D19+E19)=ABS(D19)+ABS(E19),IF(D19&lt;0,-1,1)*(D19-E19)/E19,"Turn"))</f>
        <v>0.13013779036494635</v>
      </c>
      <c r="E20" s="14">
        <f t="shared" si="8"/>
        <v>6.2974869637511949E-2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2650766</v>
      </c>
      <c r="D21" s="35">
        <v>2844456</v>
      </c>
      <c r="E21" s="35">
        <v>1640040</v>
      </c>
      <c r="F21" s="35">
        <v>1343960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514865</v>
      </c>
      <c r="D22" s="35">
        <v>573793</v>
      </c>
      <c r="E22" s="35">
        <v>662588</v>
      </c>
      <c r="F22" s="35">
        <v>625978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2462</v>
      </c>
      <c r="D23" s="35">
        <v>4464</v>
      </c>
      <c r="E23" s="35">
        <v>7281</v>
      </c>
      <c r="F23" s="35">
        <v>4564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2462</v>
      </c>
      <c r="D24" s="137">
        <v>4464</v>
      </c>
      <c r="E24" s="137">
        <v>7281</v>
      </c>
      <c r="F24" s="137">
        <v>4564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636</v>
      </c>
      <c r="D25" s="35">
        <v>1609</v>
      </c>
      <c r="E25" s="35">
        <v>5071</v>
      </c>
      <c r="F25" s="35">
        <v>4528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636</v>
      </c>
      <c r="D26" s="137">
        <v>1609</v>
      </c>
      <c r="E26" s="137">
        <v>5071</v>
      </c>
      <c r="F26" s="137">
        <v>4528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3098</v>
      </c>
      <c r="D27" s="27">
        <f t="shared" si="9"/>
        <v>6073</v>
      </c>
      <c r="E27" s="27">
        <f t="shared" si="9"/>
        <v>12352</v>
      </c>
      <c r="F27" s="27">
        <f t="shared" si="9"/>
        <v>9092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2177935</v>
      </c>
      <c r="D28" s="35">
        <v>2319629</v>
      </c>
      <c r="E28" s="35">
        <v>1007392</v>
      </c>
      <c r="F28" s="35">
        <v>746731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2177935</v>
      </c>
      <c r="D29" s="137">
        <v>2319629</v>
      </c>
      <c r="E29" s="137">
        <v>1007392</v>
      </c>
      <c r="F29" s="137">
        <v>746731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12027</v>
      </c>
      <c r="D30" s="35">
        <v>20212</v>
      </c>
      <c r="E30" s="35">
        <v>24342</v>
      </c>
      <c r="F30" s="35">
        <v>24369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1564617</v>
      </c>
      <c r="D31" s="35">
        <v>1975806</v>
      </c>
      <c r="E31" s="35">
        <v>384599</v>
      </c>
      <c r="F31" s="35">
        <v>345381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-0.68055209112829462</v>
      </c>
      <c r="D32" s="14">
        <f t="shared" si="10"/>
        <v>-0.20433405897486642</v>
      </c>
      <c r="E32" s="14">
        <f t="shared" si="10"/>
        <v>-1.1091939857037221E-3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-139223.57699999999</v>
      </c>
      <c r="D33" s="236">
        <f>IF(E7="","",(D7-E7)*Asset_Model!$D$65)</f>
        <v>29888.3367</v>
      </c>
      <c r="E33" s="236">
        <f>IF(F7="","",(E7-F7)*Asset_Model!$D$65)</f>
        <v>24629.708699999999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IF(D7="","",C30-D30+C33+IF($C$55="Yes",C57,0))</f>
        <v>-147408.57699999999</v>
      </c>
      <c r="D34" s="140">
        <f>IF(E7="","",D30-E30+D33+IF($C$55="Yes",D57,0))</f>
        <v>25758.3367</v>
      </c>
      <c r="E34" s="140">
        <f t="shared" ref="E34:F34" si="11">IF(F7="","",E30-F30+E33+IF($C$55="Yes",E57,0))</f>
        <v>24602.708699999999</v>
      </c>
      <c r="F34" s="140" t="str">
        <f t="shared" si="11"/>
        <v/>
      </c>
      <c r="G34" s="140" t="str">
        <f t="shared" ref="G34" si="12">IF(H7="","",G30-H30+G33+IF($C$55="Yes",G57,0))</f>
        <v/>
      </c>
      <c r="H34" s="140" t="str">
        <f t="shared" ref="H34" si="13">IF(I7="","",H30-I30+H33+IF($C$55="Yes",H57,0))</f>
        <v/>
      </c>
      <c r="I34" s="140" t="str">
        <f t="shared" ref="I34" si="14">IF(J7="","",I30-J30+I33+IF($C$55="Yes",I57,0))</f>
        <v/>
      </c>
      <c r="J34" s="140" t="str">
        <f t="shared" ref="J34" si="15">IF(K7="","",J30-K30+J33+IF($C$55="Yes",J57,0))</f>
        <v/>
      </c>
      <c r="K34" s="140" t="str">
        <f t="shared" ref="K34" si="16">IF(L7="","",K30-L30+K33+IF($C$55="Yes",K57,0))</f>
        <v/>
      </c>
      <c r="L34" s="140" t="str">
        <f t="shared" ref="L34" si="17">IF(M7="","",L30-M30+L33+IF($C$55="Yes",L57,0))</f>
        <v/>
      </c>
      <c r="M34" s="318" t="str">
        <f t="shared" ref="M34" si="18">IF(N7="","",M30-N30+M33+IF($C$55="Yes",M57,0))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-0.24337739462652658</v>
      </c>
      <c r="D35" s="227">
        <f t="shared" si="19"/>
        <v>2.0096413385574899E-2</v>
      </c>
      <c r="E35" s="227">
        <f t="shared" si="19"/>
        <v>2.227182824336264E-2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440200</v>
      </c>
      <c r="D37" s="162">
        <v>235813</v>
      </c>
      <c r="E37" s="162">
        <v>200000</v>
      </c>
      <c r="F37" s="162">
        <v>320000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6408</v>
      </c>
      <c r="D38" s="161">
        <v>6950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0.1214076914805263</v>
      </c>
      <c r="D39" s="167">
        <f t="shared" si="20"/>
        <v>6.5037510111534191E-2</v>
      </c>
      <c r="E39" s="167">
        <f t="shared" si="20"/>
        <v>5.5160241472297276E-2</v>
      </c>
      <c r="F39" s="167">
        <f t="shared" si="20"/>
        <v>8.8256386355675634E-2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1.7673341367724046E-3</v>
      </c>
      <c r="D40" s="169">
        <f t="shared" si="21"/>
        <v>1.9168183911623302E-3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2.9201973428959085E-4</v>
      </c>
      <c r="D42" s="48">
        <f t="shared" ref="D42:M42" si="22">IF(D29="","",D25/D29)</f>
        <v>6.9364540622659913E-4</v>
      </c>
      <c r="E42" s="48">
        <f t="shared" si="22"/>
        <v>5.0337902226739936E-3</v>
      </c>
      <c r="F42" s="48">
        <f t="shared" si="22"/>
        <v>6.0637632561123082E-3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1.4224483283477238E-3</v>
      </c>
      <c r="D43" s="14">
        <f t="shared" si="23"/>
        <v>2.6180910826688235E-3</v>
      </c>
      <c r="E43" s="14">
        <f t="shared" si="23"/>
        <v>1.2261363997331723E-2</v>
      </c>
      <c r="F43" s="14">
        <f t="shared" si="23"/>
        <v>1.2175736644119502E-2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195.50645577792125</v>
      </c>
      <c r="D44" s="50">
        <f t="shared" si="24"/>
        <v>211.05516219331466</v>
      </c>
      <c r="E44" s="50">
        <f t="shared" si="24"/>
        <v>89.431347150259072</v>
      </c>
      <c r="F44" s="50">
        <f t="shared" si="24"/>
        <v>110.31445226572811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3.4836935076170713E-4</v>
      </c>
      <c r="D45" s="14">
        <f t="shared" si="25"/>
        <v>3.2221873737066391E-4</v>
      </c>
      <c r="E45" s="14">
        <f t="shared" si="25"/>
        <v>3.5214582639301283E-4</v>
      </c>
      <c r="F45" s="14">
        <f t="shared" si="25"/>
        <v>2.4128122323598E-4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5.1484680450215103</v>
      </c>
      <c r="D46" s="51">
        <f t="shared" si="26"/>
        <v>4.9572859898953103</v>
      </c>
      <c r="E46" s="51">
        <f t="shared" si="26"/>
        <v>2.4752032937511697</v>
      </c>
      <c r="F46" s="51">
        <f t="shared" si="26"/>
        <v>2.1469764113115795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B47" s="364" t="s">
        <v>348</v>
      </c>
      <c r="C47" s="363"/>
      <c r="D47" s="363"/>
      <c r="E47" s="363"/>
      <c r="F47" s="363"/>
      <c r="G47" s="363"/>
      <c r="H47" s="363"/>
      <c r="I47" s="363"/>
      <c r="J47" s="363"/>
      <c r="K47" s="363"/>
      <c r="L47" s="363"/>
      <c r="M47" s="363"/>
      <c r="N47" s="6"/>
    </row>
    <row r="48" spans="1:14" ht="15.75" customHeight="1">
      <c r="A48" s="9"/>
      <c r="B48" s="165" t="s">
        <v>349</v>
      </c>
      <c r="C48" s="365">
        <f>C13</f>
        <v>1</v>
      </c>
      <c r="D48" s="365">
        <f>D13</f>
        <v>0.98485457363292761</v>
      </c>
      <c r="E48" s="365">
        <f t="shared" ref="E48:M48" si="27">E13</f>
        <v>0.95883452740343134</v>
      </c>
      <c r="F48" s="365">
        <f t="shared" si="27"/>
        <v>0.97471707831427756</v>
      </c>
      <c r="G48" s="365" t="str">
        <f t="shared" si="27"/>
        <v/>
      </c>
      <c r="H48" s="365" t="str">
        <f t="shared" si="27"/>
        <v/>
      </c>
      <c r="I48" s="365" t="str">
        <f t="shared" si="27"/>
        <v/>
      </c>
      <c r="J48" s="365" t="str">
        <f t="shared" si="27"/>
        <v/>
      </c>
      <c r="K48" s="365" t="str">
        <f t="shared" si="27"/>
        <v/>
      </c>
      <c r="L48" s="365" t="str">
        <f t="shared" si="27"/>
        <v/>
      </c>
      <c r="M48" s="365" t="str">
        <f t="shared" si="27"/>
        <v/>
      </c>
      <c r="N48" s="6"/>
    </row>
    <row r="49" spans="1:14" ht="15.75" customHeight="1">
      <c r="A49" s="9"/>
      <c r="B49" s="139" t="s">
        <v>350</v>
      </c>
      <c r="C49" s="366">
        <f>C7/(C29+C21+C22)</f>
        <v>0.11334734145699707</v>
      </c>
      <c r="D49" s="366">
        <f>IF(D7="","",D7/(D29+D21+D22))</f>
        <v>0.22681712647079635</v>
      </c>
      <c r="E49" s="366">
        <f t="shared" ref="E49:M49" si="28">IF(E7="","",E7/(E29+E21+E22))</f>
        <v>0.34805892411526212</v>
      </c>
      <c r="F49" s="366">
        <f t="shared" si="28"/>
        <v>0.37877084031952363</v>
      </c>
      <c r="G49" s="366" t="str">
        <f t="shared" si="28"/>
        <v/>
      </c>
      <c r="H49" s="366" t="str">
        <f t="shared" si="28"/>
        <v/>
      </c>
      <c r="I49" s="366" t="str">
        <f t="shared" si="28"/>
        <v/>
      </c>
      <c r="J49" s="366" t="str">
        <f t="shared" si="28"/>
        <v/>
      </c>
      <c r="K49" s="366" t="str">
        <f t="shared" si="28"/>
        <v/>
      </c>
      <c r="L49" s="366" t="str">
        <f t="shared" si="28"/>
        <v/>
      </c>
      <c r="M49" s="366" t="str">
        <f t="shared" si="28"/>
        <v/>
      </c>
      <c r="N49" s="6"/>
    </row>
    <row r="50" spans="1:14" ht="15.75" customHeight="1">
      <c r="A50" s="9"/>
      <c r="B50" s="139" t="s">
        <v>351</v>
      </c>
      <c r="C50" s="367">
        <f>(C29+C21+C22)/C29</f>
        <v>2.4535011375454272</v>
      </c>
      <c r="D50" s="367">
        <f>IF(D29="","",(D29+D21+D22)/D29)</f>
        <v>2.4736188416337268</v>
      </c>
      <c r="E50" s="367">
        <f t="shared" ref="E50:M50" si="29">IF(E29="","",(E29+E21+E22)/E29)</f>
        <v>3.2857318700168356</v>
      </c>
      <c r="F50" s="367">
        <f t="shared" si="29"/>
        <v>3.6380825223541007</v>
      </c>
      <c r="G50" s="367" t="str">
        <f t="shared" si="29"/>
        <v/>
      </c>
      <c r="H50" s="367" t="str">
        <f t="shared" si="29"/>
        <v/>
      </c>
      <c r="I50" s="367" t="str">
        <f t="shared" si="29"/>
        <v/>
      </c>
      <c r="J50" s="367" t="str">
        <f t="shared" si="29"/>
        <v/>
      </c>
      <c r="K50" s="367" t="str">
        <f t="shared" si="29"/>
        <v/>
      </c>
      <c r="L50" s="367" t="str">
        <f t="shared" si="29"/>
        <v/>
      </c>
      <c r="M50" s="367" t="str">
        <f t="shared" si="29"/>
        <v/>
      </c>
      <c r="N50" s="6"/>
    </row>
    <row r="51" spans="1:14" ht="15.75" customHeight="1">
      <c r="A51" s="9"/>
      <c r="B51" s="139" t="s">
        <v>352</v>
      </c>
      <c r="C51" s="368">
        <f>C48*C49*C50</f>
        <v>0.27809783120249226</v>
      </c>
      <c r="D51" s="368">
        <f>IF(D48="","",D48*D49*D50)</f>
        <v>0.5525616380895394</v>
      </c>
      <c r="E51" s="368">
        <f t="shared" ref="E51:M51" si="30">IF(E48="","",E48*E49*E50)</f>
        <v>1.0965503001810615</v>
      </c>
      <c r="F51" s="368">
        <f t="shared" si="30"/>
        <v>1.3431597188277973</v>
      </c>
      <c r="G51" s="368" t="str">
        <f t="shared" si="30"/>
        <v/>
      </c>
      <c r="H51" s="368" t="str">
        <f t="shared" si="30"/>
        <v/>
      </c>
      <c r="I51" s="368" t="str">
        <f t="shared" si="30"/>
        <v/>
      </c>
      <c r="J51" s="368" t="str">
        <f t="shared" si="30"/>
        <v/>
      </c>
      <c r="K51" s="368" t="str">
        <f t="shared" si="30"/>
        <v/>
      </c>
      <c r="L51" s="368" t="str">
        <f t="shared" si="30"/>
        <v/>
      </c>
      <c r="M51" s="368" t="str">
        <f t="shared" si="30"/>
        <v/>
      </c>
      <c r="N51" s="6"/>
    </row>
    <row r="52" spans="1:14" ht="15.75" customHeight="1">
      <c r="A52" s="9"/>
      <c r="B52" s="369" t="s">
        <v>353</v>
      </c>
      <c r="C52" s="370">
        <f>C35*C51</f>
        <v>-6.7682725609350139E-2</v>
      </c>
      <c r="D52" s="370">
        <f>IF(D35="","",D35*D51)</f>
        <v>1.1104507100057812E-2</v>
      </c>
      <c r="E52" s="370">
        <f t="shared" ref="E52:M52" si="31">IF(E35="","",E35*E51)</f>
        <v>2.4422179945840346E-2</v>
      </c>
      <c r="F52" s="370" t="str">
        <f t="shared" si="31"/>
        <v/>
      </c>
      <c r="G52" s="370" t="str">
        <f t="shared" si="31"/>
        <v/>
      </c>
      <c r="H52" s="370" t="str">
        <f t="shared" si="31"/>
        <v/>
      </c>
      <c r="I52" s="370" t="str">
        <f t="shared" si="31"/>
        <v/>
      </c>
      <c r="J52" s="370" t="str">
        <f t="shared" si="31"/>
        <v/>
      </c>
      <c r="K52" s="370" t="str">
        <f t="shared" si="31"/>
        <v/>
      </c>
      <c r="L52" s="370" t="str">
        <f t="shared" si="31"/>
        <v/>
      </c>
      <c r="M52" s="370" t="str">
        <f t="shared" si="31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2"/>
      <c r="D54" s="52"/>
      <c r="E54" s="52"/>
      <c r="F54" s="52"/>
    </row>
    <row r="55" spans="1:14" ht="15" customHeight="1">
      <c r="A55" s="9"/>
      <c r="B55" s="5" t="s">
        <v>75</v>
      </c>
      <c r="C55" s="317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14"/>
      <c r="D56" s="6"/>
      <c r="E56" s="314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15" t="s">
        <v>276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3"/>
    </row>
    <row r="58" spans="1:14" ht="15.75" customHeight="1">
      <c r="A58" s="9"/>
      <c r="B58" s="316" t="s">
        <v>277</v>
      </c>
      <c r="C58" s="320" t="str">
        <f>IF(C57="","",C57/C7)</f>
        <v/>
      </c>
      <c r="D58" s="320" t="str">
        <f t="shared" ref="D58:M58" si="32">IF(D57="","",D57/D7)</f>
        <v/>
      </c>
      <c r="E58" s="320" t="str">
        <f t="shared" si="32"/>
        <v/>
      </c>
      <c r="F58" s="320" t="str">
        <f t="shared" si="32"/>
        <v/>
      </c>
      <c r="G58" s="320" t="str">
        <f t="shared" si="32"/>
        <v/>
      </c>
      <c r="H58" s="320" t="str">
        <f>IF(H57="","",H57/H7)</f>
        <v/>
      </c>
      <c r="I58" s="320" t="str">
        <f t="shared" si="32"/>
        <v/>
      </c>
      <c r="J58" s="320" t="str">
        <f t="shared" si="32"/>
        <v/>
      </c>
      <c r="K58" s="320" t="str">
        <f t="shared" si="32"/>
        <v/>
      </c>
      <c r="L58" s="320" t="str">
        <f t="shared" si="32"/>
        <v/>
      </c>
      <c r="M58" s="321" t="str">
        <f t="shared" si="32"/>
        <v/>
      </c>
    </row>
    <row r="59" spans="1:14" ht="15.75" customHeight="1">
      <c r="A59" s="9"/>
      <c r="B59" s="53"/>
      <c r="C59" s="56"/>
      <c r="D59" s="56"/>
    </row>
    <row r="60" spans="1:14" ht="15.75" customHeight="1">
      <c r="A60" s="9"/>
      <c r="B60" s="53"/>
      <c r="C60" s="56"/>
      <c r="D60" s="56"/>
    </row>
    <row r="61" spans="1:14" ht="15.75" customHeight="1">
      <c r="A61" s="9"/>
      <c r="B61" s="53"/>
      <c r="C61" s="56"/>
      <c r="D61" s="56"/>
    </row>
    <row r="62" spans="1:14" ht="15.75" customHeight="1">
      <c r="A62" s="9"/>
      <c r="B62" s="53"/>
      <c r="C62" s="57"/>
      <c r="D62" s="57"/>
    </row>
    <row r="63" spans="1:14" ht="15.75" customHeight="1">
      <c r="A63" s="9"/>
      <c r="B63" s="53"/>
      <c r="C63" s="56"/>
      <c r="D63" s="56"/>
    </row>
    <row r="64" spans="1:14" ht="15.75" customHeight="1">
      <c r="A64" s="9"/>
      <c r="B64" s="53"/>
      <c r="C64" s="57"/>
      <c r="D64" s="57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2">
      <formula>$C$55="No"</formula>
    </cfRule>
  </conditionalFormatting>
  <conditionalFormatting sqref="C7:M35 D42:M46">
    <cfRule type="containsBlanks" dxfId="10" priority="4">
      <formula>LEN(TRIM(C7))=0</formula>
    </cfRule>
  </conditionalFormatting>
  <conditionalFormatting sqref="C37:M40">
    <cfRule type="containsBlanks" dxfId="9" priority="6">
      <formula>LEN(TRIM(C37))=0</formula>
    </cfRule>
  </conditionalFormatting>
  <conditionalFormatting sqref="D17:M18">
    <cfRule type="containsBlanks" dxfId="8" priority="5">
      <formula>LEN(TRIM(D17))=0</formula>
    </cfRule>
  </conditionalFormatting>
  <conditionalFormatting sqref="D48:M52">
    <cfRule type="containsBlanks" dxfId="7" priority="1">
      <formula>LEN(TRIM(D48))=0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2177935</v>
      </c>
      <c r="E3" s="153" t="str">
        <f>IF((C46-I46)=D3,"", "Error!")</f>
        <v/>
      </c>
      <c r="F3" s="6"/>
      <c r="G3" s="6"/>
      <c r="H3" s="258" t="s">
        <v>244</v>
      </c>
      <c r="I3" s="259">
        <v>2177935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0.65545885075616805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443157.89999999991</v>
      </c>
      <c r="E6" s="14">
        <f>1-D6/D3</f>
        <v>0.79652381728563992</v>
      </c>
      <c r="F6" s="6"/>
      <c r="G6" s="6"/>
      <c r="H6" s="3" t="s">
        <v>287</v>
      </c>
      <c r="I6" s="69">
        <f>C26/I26</f>
        <v>5.1484680450215103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0.13337026487820655</v>
      </c>
      <c r="E7" s="49" t="str">
        <f>Dashboard!J4</f>
        <v>HKD</v>
      </c>
      <c r="H7" s="3" t="s">
        <v>288</v>
      </c>
      <c r="I7" s="69">
        <f>C25/I26</f>
        <v>5.1484680450215103</v>
      </c>
      <c r="J7" s="6"/>
      <c r="K7" s="114"/>
    </row>
    <row r="8" spans="1:11" ht="15" customHeight="1">
      <c r="D8" s="6"/>
      <c r="H8" s="3" t="s">
        <v>289</v>
      </c>
      <c r="I8" s="69">
        <f>C24/I26</f>
        <v>3.0388878638089598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323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1564617</v>
      </c>
      <c r="D11" s="65">
        <v>0.6</v>
      </c>
      <c r="E11" s="27">
        <f t="shared" ref="E11:E21" si="0">C11*D11</f>
        <v>938770.2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2462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512403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1086149</v>
      </c>
      <c r="D17" s="65">
        <v>0</v>
      </c>
      <c r="E17" s="27">
        <f t="shared" si="0"/>
        <v>0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0</v>
      </c>
      <c r="D18" s="65">
        <v>0.2</v>
      </c>
      <c r="E18" s="27">
        <f t="shared" si="0"/>
        <v>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1564617</v>
      </c>
      <c r="D24" s="68">
        <f>IF(E24=0,0,E24/C24)</f>
        <v>0.6</v>
      </c>
      <c r="E24" s="27">
        <f>SUM(E11:E14)</f>
        <v>938770.2</v>
      </c>
      <c r="F24" s="6"/>
      <c r="G24" s="6"/>
      <c r="H24" s="66" t="s">
        <v>290</v>
      </c>
      <c r="I24" s="69">
        <f>E24/($I$26-I15)</f>
        <v>381.30389926888705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2650766</v>
      </c>
      <c r="D25" s="68">
        <f>IF(E25=0,0,E25/C25)</f>
        <v>0.35415053610918501</v>
      </c>
      <c r="E25" s="27">
        <f>E24+SUM(E15:E17)</f>
        <v>938770.2</v>
      </c>
      <c r="F25" s="6"/>
      <c r="G25" s="6"/>
      <c r="H25" s="66" t="s">
        <v>294</v>
      </c>
      <c r="I25" s="69">
        <f>E25/$I$26</f>
        <v>1.8233327182853758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2650766</v>
      </c>
      <c r="D26" s="14">
        <f t="shared" ref="D26" si="2">E26/C26</f>
        <v>0.35415053610918501</v>
      </c>
      <c r="E26" s="27">
        <f>SUM(E11:E22)</f>
        <v>938770.2</v>
      </c>
      <c r="H26" s="5" t="s">
        <v>56</v>
      </c>
      <c r="I26" s="64">
        <v>514865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636</v>
      </c>
      <c r="J29" s="6"/>
    </row>
    <row r="30" spans="2:10" ht="15" customHeight="1">
      <c r="B30" s="5" t="s">
        <v>112</v>
      </c>
      <c r="C30" s="64">
        <v>4894</v>
      </c>
      <c r="D30" s="65">
        <v>0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0</v>
      </c>
      <c r="J32" s="6"/>
    </row>
    <row r="33" spans="2:10" ht="14">
      <c r="B33" s="5" t="s">
        <v>117</v>
      </c>
      <c r="C33" s="64">
        <v>2230</v>
      </c>
      <c r="D33" s="65">
        <v>0.2</v>
      </c>
      <c r="E33" s="214">
        <f t="shared" si="3"/>
        <v>446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12027</v>
      </c>
      <c r="D36" s="65">
        <v>0.2</v>
      </c>
      <c r="E36" s="27">
        <f t="shared" si="3"/>
        <v>2405.4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5585</v>
      </c>
      <c r="D38" s="65">
        <v>0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17934</v>
      </c>
      <c r="D39" s="65">
        <v>0.95</v>
      </c>
      <c r="E39" s="27">
        <f t="shared" si="3"/>
        <v>17037.3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42670</v>
      </c>
      <c r="D42" s="14">
        <f>E42/C42</f>
        <v>0.46610499179751586</v>
      </c>
      <c r="E42" s="27">
        <f>SUM(E28:E40)</f>
        <v>19888.7</v>
      </c>
      <c r="F42" s="6"/>
      <c r="G42" s="6"/>
      <c r="H42" s="5" t="s">
        <v>123</v>
      </c>
      <c r="I42" s="64">
        <v>636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1564617</v>
      </c>
      <c r="D44" s="68">
        <f>IF(E44=0,0,E44/C44)</f>
        <v>0.6</v>
      </c>
      <c r="E44" s="27">
        <f>E24+SUM(E28:E29)</f>
        <v>938770.2</v>
      </c>
      <c r="F44" s="6"/>
      <c r="G44" s="6"/>
      <c r="H44" s="66" t="s">
        <v>291</v>
      </c>
      <c r="I44" s="69">
        <f>E44/(I46-I15-I32)</f>
        <v>303.02459651387989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2657890</v>
      </c>
      <c r="D45" s="68">
        <f>IF(E45=0,0,E45/C45)</f>
        <v>0.35336910105384345</v>
      </c>
      <c r="E45" s="27">
        <f>E44+(E25-E24)+SUM(E30:E33)</f>
        <v>939216.2</v>
      </c>
      <c r="F45" s="6"/>
      <c r="G45" s="6"/>
      <c r="H45" s="66" t="s">
        <v>295</v>
      </c>
      <c r="I45" s="69">
        <f>E45/$I$46</f>
        <v>1.8219483570351949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2693436</v>
      </c>
      <c r="D46" s="14">
        <f>E46/C46</f>
        <v>0.35592414299058894</v>
      </c>
      <c r="E46" s="27">
        <f>E26+E42</f>
        <v>958658.89999999991</v>
      </c>
      <c r="F46" s="6"/>
      <c r="G46" s="6"/>
      <c r="H46" s="5" t="s">
        <v>292</v>
      </c>
      <c r="I46" s="152">
        <f>I26+I42</f>
        <v>515501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54">
        <f>D53+D54+D55</f>
        <v>3098</v>
      </c>
      <c r="E52" s="455"/>
      <c r="F52" s="53"/>
      <c r="G52" s="53"/>
    </row>
    <row r="53" spans="2:9" ht="14.5" thickTop="1">
      <c r="B53" s="58" t="s">
        <v>222</v>
      </c>
      <c r="C53" s="6"/>
      <c r="D53" s="457">
        <f>SUM(I11:I13)+SUM(I28:I30)</f>
        <v>3098</v>
      </c>
      <c r="E53" s="450"/>
      <c r="F53" s="5"/>
      <c r="G53" s="5"/>
      <c r="H53" s="3" t="s">
        <v>293</v>
      </c>
      <c r="I53" s="14">
        <f>D53/I3</f>
        <v>1.4224483283477238E-3</v>
      </c>
    </row>
    <row r="54" spans="2:9" ht="14">
      <c r="B54" s="58" t="s">
        <v>129</v>
      </c>
      <c r="C54" s="6"/>
      <c r="D54" s="464">
        <v>0</v>
      </c>
      <c r="E54" s="411"/>
      <c r="F54" s="6" t="s">
        <v>130</v>
      </c>
      <c r="G54" s="6"/>
    </row>
    <row r="55" spans="2:9" ht="12.75" customHeight="1">
      <c r="B55" s="58" t="s">
        <v>128</v>
      </c>
      <c r="C55" s="6"/>
      <c r="D55" s="464">
        <v>0</v>
      </c>
      <c r="E55" s="411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56"/>
      <c r="E57" s="456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7124</v>
      </c>
      <c r="D58" s="126">
        <f>IF(E58=0,0,E58/C58)</f>
        <v>6.2605277933745082E-2</v>
      </c>
      <c r="E58" s="215">
        <f>E14+E15+(E19*G19)+(E20*G20)+E29+E30+(E31*G31)+(E33*G33)+(E34*G34)+(E35*G35)</f>
        <v>446</v>
      </c>
      <c r="H58" s="6"/>
    </row>
    <row r="59" spans="2:9" ht="14">
      <c r="B59" s="53" t="s">
        <v>89</v>
      </c>
      <c r="C59" s="207">
        <f>C11+C12+C28</f>
        <v>1564617</v>
      </c>
      <c r="D59" s="208">
        <f>IF(E59=0,0,E59/C59)</f>
        <v>0.6</v>
      </c>
      <c r="E59" s="209">
        <f>E11+E12+E28</f>
        <v>938770.2</v>
      </c>
      <c r="F59" s="6"/>
      <c r="G59" s="6"/>
    </row>
    <row r="60" spans="2:9" ht="14">
      <c r="B60" s="53" t="s">
        <v>133</v>
      </c>
      <c r="C60" s="6"/>
      <c r="D60" s="462">
        <f>((Dashboard!I6*Data!C4)+D52+E50-C58-C59)</f>
        <v>-208968.02399999998</v>
      </c>
      <c r="E60" s="463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60">
        <f>((C26-C11-C12-C14-C15-C16*G16-C19*G19-C20*G20)-I26)/Data!C7</f>
        <v>0.94321249374668759</v>
      </c>
      <c r="E63" s="461"/>
    </row>
    <row r="64" spans="2:9" ht="15" customHeight="1">
      <c r="B64" s="3" t="s">
        <v>250</v>
      </c>
      <c r="D64" s="458">
        <v>0.2001</v>
      </c>
      <c r="E64" s="459"/>
      <c r="F64" s="250" t="s">
        <v>236</v>
      </c>
    </row>
    <row r="65" spans="2:5" ht="15" customHeight="1">
      <c r="B65" s="271" t="s">
        <v>252</v>
      </c>
      <c r="D65" s="458">
        <v>0.2001</v>
      </c>
      <c r="E65" s="45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18" sqref="C1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IF(G7="","",EOMONTH(EDATE(E3,12),0))</f>
        <v/>
      </c>
      <c r="H3" s="28"/>
      <c r="I3" s="261" t="str">
        <f>IF(I14="","",EOMONTH(EDATE(G3,12),0))</f>
        <v/>
      </c>
      <c r="J3" s="276"/>
      <c r="L3" s="71" t="s">
        <v>134</v>
      </c>
    </row>
    <row r="4" spans="1:13" ht="15.75" customHeight="1">
      <c r="B4" s="272" t="s">
        <v>330</v>
      </c>
      <c r="C4" s="273">
        <v>554225</v>
      </c>
      <c r="D4" s="244">
        <f>C4/$C$6</f>
        <v>0.91504740960145559</v>
      </c>
      <c r="E4" s="273">
        <f>C4*0.5</f>
        <v>277112.5</v>
      </c>
      <c r="F4" s="244">
        <f>E4/E$6</f>
        <v>0.89976002070231353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331</v>
      </c>
      <c r="C5" s="273">
        <v>51454</v>
      </c>
      <c r="D5" s="244">
        <f>C5/$C$6</f>
        <v>8.4952590398544442E-2</v>
      </c>
      <c r="E5" s="273">
        <f>C5*0.6</f>
        <v>30872.399999999998</v>
      </c>
      <c r="F5" s="244">
        <f>E5/E$6</f>
        <v>0.10023997929768633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5" t="s">
        <v>136</v>
      </c>
      <c r="C6" s="177">
        <f>SUM(C4:C5)</f>
        <v>605679</v>
      </c>
      <c r="D6" s="243"/>
      <c r="E6" s="313">
        <f>SUM(E4:E5)</f>
        <v>307984.90000000002</v>
      </c>
      <c r="F6" s="243"/>
      <c r="G6" s="313"/>
      <c r="H6" s="243"/>
      <c r="I6" s="222"/>
      <c r="J6" s="267"/>
      <c r="K6" s="6"/>
      <c r="L6" s="73"/>
      <c r="M6" s="57"/>
    </row>
    <row r="7" spans="1:13" ht="15.75" customHeight="1">
      <c r="B7" s="17" t="s">
        <v>135</v>
      </c>
      <c r="C7" s="184"/>
      <c r="D7" s="245"/>
      <c r="E7" s="18">
        <f>E6/C6-1</f>
        <v>-0.49150474096014551</v>
      </c>
      <c r="F7" s="245"/>
      <c r="G7" s="72"/>
      <c r="H7" s="245"/>
      <c r="I7" s="72"/>
      <c r="J7" s="303"/>
      <c r="K7" s="6"/>
      <c r="L7" s="73"/>
      <c r="M7" s="57"/>
    </row>
    <row r="8" spans="1:13" ht="15.75" customHeight="1">
      <c r="B8" s="8" t="s">
        <v>137</v>
      </c>
      <c r="C8" s="178">
        <f>Data!C9</f>
        <v>0</v>
      </c>
      <c r="D8" s="246"/>
      <c r="E8" s="221">
        <f>E6*(1-E9)</f>
        <v>0</v>
      </c>
      <c r="F8" s="246"/>
      <c r="G8" s="264" t="str">
        <f>IF(G6="","",G6*(1-G9))</f>
        <v/>
      </c>
      <c r="H8" s="246"/>
      <c r="I8" s="264" t="str">
        <f>IF(I6="","",I6*(1-I9))</f>
        <v/>
      </c>
      <c r="J8" s="304"/>
      <c r="K8" s="6"/>
      <c r="L8" s="114"/>
      <c r="M8" s="1"/>
    </row>
    <row r="9" spans="1:13" ht="15.75" customHeight="1">
      <c r="B9" s="17" t="s">
        <v>46</v>
      </c>
      <c r="C9" s="183">
        <f>(C6-C8)/C6</f>
        <v>1</v>
      </c>
      <c r="D9" s="183"/>
      <c r="E9" s="72">
        <f>C9</f>
        <v>1</v>
      </c>
      <c r="F9" s="183"/>
      <c r="G9" s="72"/>
      <c r="H9" s="183"/>
      <c r="I9" s="72"/>
      <c r="J9" s="305"/>
      <c r="K9" s="6"/>
      <c r="L9" s="73"/>
    </row>
    <row r="10" spans="1:13" ht="15.75" customHeight="1">
      <c r="B10" s="5" t="s">
        <v>138</v>
      </c>
      <c r="C10" s="27">
        <f>C6-C8</f>
        <v>605679</v>
      </c>
      <c r="D10" s="27"/>
      <c r="E10" s="27">
        <f>E6-E8</f>
        <v>307984.90000000002</v>
      </c>
      <c r="F10" s="27"/>
      <c r="G10" s="27" t="str">
        <f>IF(G7="","",G6-G8)</f>
        <v/>
      </c>
      <c r="H10" s="27"/>
      <c r="I10" s="27" t="str">
        <f>IF(I7="","",I6-I8)</f>
        <v/>
      </c>
      <c r="J10" s="230"/>
      <c r="K10" s="6"/>
      <c r="L10" s="73"/>
    </row>
    <row r="11" spans="1:13" ht="15.75" customHeight="1">
      <c r="B11" s="17" t="s">
        <v>48</v>
      </c>
      <c r="C11" s="186">
        <f>C12/C6</f>
        <v>0.33114405485413889</v>
      </c>
      <c r="D11" s="186"/>
      <c r="E11" s="220">
        <f>E12/E6</f>
        <v>0.65122348530723417</v>
      </c>
      <c r="F11" s="186"/>
      <c r="G11" s="65"/>
      <c r="H11" s="186"/>
      <c r="I11" s="65"/>
      <c r="J11" s="306"/>
      <c r="K11" s="6"/>
      <c r="L11" s="73"/>
    </row>
    <row r="12" spans="1:13" ht="15.75" customHeight="1">
      <c r="B12" s="8" t="s">
        <v>139</v>
      </c>
      <c r="C12" s="180">
        <f>123069+18827+58671</f>
        <v>200567</v>
      </c>
      <c r="D12" s="247"/>
      <c r="E12" s="75">
        <f>C12</f>
        <v>200567</v>
      </c>
      <c r="F12" s="247"/>
      <c r="G12" s="75"/>
      <c r="H12" s="247"/>
      <c r="I12" s="75"/>
      <c r="J12" s="307"/>
      <c r="K12" s="6"/>
      <c r="L12" s="73"/>
    </row>
    <row r="13" spans="1:13" ht="15.75" customHeight="1">
      <c r="B13" s="17" t="s">
        <v>49</v>
      </c>
      <c r="C13" s="18">
        <f>C15/C6</f>
        <v>0.66885594514586111</v>
      </c>
      <c r="D13" s="18"/>
      <c r="E13" s="18">
        <f>E15/E6</f>
        <v>0.34877651469276583</v>
      </c>
      <c r="F13" s="18"/>
      <c r="G13" s="18" t="str">
        <f>IF(G7="","",G15/G6)</f>
        <v/>
      </c>
      <c r="H13" s="18"/>
      <c r="I13" s="18" t="str">
        <f>IF(I7="","",I15/I6)</f>
        <v/>
      </c>
      <c r="J13" s="223"/>
      <c r="K13" s="6"/>
      <c r="L13" s="73"/>
      <c r="M13" s="57"/>
    </row>
    <row r="14" spans="1:13" ht="15.75" customHeight="1">
      <c r="B14" s="17" t="s">
        <v>140</v>
      </c>
      <c r="C14" s="185"/>
      <c r="D14" s="248"/>
      <c r="E14" s="14">
        <f>IF(ABS(C15+E15)=ABS(C15)+ABS(E15),IF(E15&lt;0,-1,1)*(E15-C15)/C15,"Turn")</f>
        <v>-0.73484394439068701</v>
      </c>
      <c r="F14" s="248"/>
      <c r="G14" s="14" t="str">
        <f>IF(G7="","",IF(ABS(E15+G15)=ABS(E15)+ABS(G15),IF(G15&lt;0,-1,1)*(G15-E15)/E15,"Turn"))</f>
        <v/>
      </c>
      <c r="H14" s="248"/>
      <c r="I14" s="14" t="str">
        <f>IF(I7="","",IF(ABS(G15+I15)=ABS(G15)+ABS(I15),IF(I15&lt;0,-1,1)*(I15-G15)/G15,"Turn"))</f>
        <v/>
      </c>
      <c r="J14" s="308"/>
      <c r="K14" s="6"/>
      <c r="L14" s="76"/>
      <c r="M14" s="77"/>
    </row>
    <row r="15" spans="1:13" ht="15.75" customHeight="1">
      <c r="B15" s="131" t="s">
        <v>232</v>
      </c>
      <c r="C15" s="295">
        <f>C10-C12</f>
        <v>405112</v>
      </c>
      <c r="D15" s="296"/>
      <c r="E15" s="295">
        <f>E10-E12</f>
        <v>107417.90000000002</v>
      </c>
      <c r="F15" s="296"/>
      <c r="G15" s="295" t="str">
        <f>IF(G7="","",G10-G12)</f>
        <v/>
      </c>
      <c r="H15" s="296"/>
      <c r="I15" s="295" t="str">
        <f>IF(I7="","",I10-I12)</f>
        <v/>
      </c>
      <c r="J15" s="309"/>
      <c r="K15" s="6"/>
      <c r="L15" s="78"/>
      <c r="M15" s="56"/>
    </row>
    <row r="16" spans="1:13" ht="15.75" customHeight="1">
      <c r="B16" s="291" t="s">
        <v>141</v>
      </c>
      <c r="C16" s="292">
        <v>0.25</v>
      </c>
      <c r="D16" s="293"/>
      <c r="E16" s="294">
        <f>IF(E15="","",C16)</f>
        <v>0.25</v>
      </c>
      <c r="F16" s="294"/>
      <c r="G16" s="294" t="str">
        <f>IF(G15="","",E16)</f>
        <v/>
      </c>
      <c r="H16" s="294"/>
      <c r="I16" s="294" t="str">
        <f>IF(I15="","",G16)</f>
        <v/>
      </c>
      <c r="J16" s="310"/>
      <c r="L16" s="73"/>
    </row>
    <row r="17" spans="2:10" ht="15.75" customHeight="1">
      <c r="B17" s="300" t="s">
        <v>284</v>
      </c>
      <c r="C17" s="248">
        <f>C18/C6</f>
        <v>0.50164195885939578</v>
      </c>
      <c r="D17" s="302"/>
      <c r="E17" s="301">
        <f>E18/E6</f>
        <v>0.2615823860195744</v>
      </c>
      <c r="F17" s="301"/>
      <c r="G17" s="301" t="str">
        <f>IF(G8="","",G18/G8)</f>
        <v/>
      </c>
      <c r="H17" s="301"/>
      <c r="I17" s="301" t="str">
        <f>IF(I8="","",I18/I8)</f>
        <v/>
      </c>
      <c r="J17" s="311"/>
    </row>
    <row r="18" spans="2:10" ht="15.75" customHeight="1">
      <c r="B18" s="297" t="s">
        <v>78</v>
      </c>
      <c r="C18" s="298">
        <f>IF(C15&lt;=0,C15,C15*(1-C16))</f>
        <v>303834</v>
      </c>
      <c r="D18" s="298"/>
      <c r="E18" s="299">
        <f>IF(E15="","",IF(E15&lt;=0,E15,E15*(1-E16)))</f>
        <v>80563.425000000017</v>
      </c>
      <c r="F18" s="298"/>
      <c r="G18" s="299" t="str">
        <f>IF(G15="","",IF(G15&lt;=0,G15,G15*(1-G16)))</f>
        <v/>
      </c>
      <c r="H18" s="298"/>
      <c r="I18" s="299" t="str">
        <f>IF(I15="","",IF(I15&lt;=0,I15,I15*(1-I16)))</f>
        <v/>
      </c>
      <c r="J18" s="312"/>
    </row>
    <row r="19" spans="2:10" ht="15.75" customHeight="1"/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</sheetData>
  <phoneticPr fontId="31" type="noConversion"/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H12 G13:H15">
    <cfRule type="containsBlanks" dxfId="4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dxfId="2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30" sqref="D3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Operation!C18</f>
        <v>303834</v>
      </c>
      <c r="D4" s="45">
        <f>Operation!E18</f>
        <v>80563.425000000017</v>
      </c>
      <c r="E4" s="45" t="str">
        <f>Operation!G18</f>
        <v/>
      </c>
      <c r="F4" s="198" t="str">
        <f>Operation!I18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-0.7348439443906869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Asset_Model!D65</f>
        <v>0.2001</v>
      </c>
      <c r="D6" s="220">
        <f>C6</f>
        <v>0.2001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60797.183400000002</v>
      </c>
      <c r="D7" s="286">
        <f>D6*D4</f>
        <v>16120.741342500003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243036.81659999999</v>
      </c>
      <c r="D8" s="188">
        <f>D4-D7</f>
        <v>64442.683657500012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6.702984745157213E-2</v>
      </c>
      <c r="D9" s="283">
        <f>D8/(Common_Shares/Data!$C$4)</f>
        <v>1.7773369958352828E-2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1.7773369958352828E-2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1.6456824035511877E-2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938770.2</v>
      </c>
      <c r="D15" s="213">
        <f>C15/(Dashboard!I5/Data!C4)</f>
        <v>0.25891395459498401</v>
      </c>
      <c r="E15" s="84" t="s">
        <v>224</v>
      </c>
      <c r="G15" s="134">
        <f>C15+C16+C17+C18</f>
        <v>936118.2</v>
      </c>
    </row>
    <row r="16" spans="1:10" ht="15.75" customHeight="1">
      <c r="B16" s="58" t="s">
        <v>230</v>
      </c>
      <c r="C16" s="83">
        <f>Asset_Model!E58</f>
        <v>446</v>
      </c>
      <c r="D16" s="213">
        <f>C16/(Dashboard!I5/Data!C4)</f>
        <v>1.2300733848322291E-4</v>
      </c>
      <c r="E16" s="84" t="s">
        <v>306</v>
      </c>
      <c r="G16" s="194">
        <f>(G15+MIN(D4,0))*Data!C$4/Dashboard!I5</f>
        <v>0.25818252979306139</v>
      </c>
    </row>
    <row r="17" spans="2:9" ht="15.75" customHeight="1">
      <c r="B17" s="58" t="s">
        <v>214</v>
      </c>
      <c r="C17" s="83">
        <f>-Asset_Model!D52</f>
        <v>-3098</v>
      </c>
      <c r="D17" s="213">
        <f>C17/(Dashboard!I5/Data!C4)</f>
        <v>-8.5443214040588475E-4</v>
      </c>
      <c r="E17" s="467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67"/>
      <c r="F18" s="145">
        <f>D15+(MIN(D4,0)*Data!C$4/Dashboard!I5)</f>
        <v>0.25891395459498401</v>
      </c>
      <c r="G18" s="144">
        <f>SUM(D16:D18)</f>
        <v>-7.3142480192266179E-4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68" t="s">
        <v>220</v>
      </c>
      <c r="F20" s="468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 ca="1">IF(G9&lt;0,G9,G9*D22/G11)</f>
        <v>7.6189000164406828E-2</v>
      </c>
      <c r="F22" s="342">
        <f ca="1">E22+$G$16</f>
        <v>0.33437152995746822</v>
      </c>
      <c r="G22" s="345">
        <f ca="1">ROUND(F22*Exchange_Rate,2)</f>
        <v>0.36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 ca="1">IF(G9&lt;0,G9,G9*D23/G11)</f>
        <v>0.12190240026305094</v>
      </c>
      <c r="F23" s="343">
        <f ca="1">E23+$G$16</f>
        <v>0.38008493005611232</v>
      </c>
      <c r="G23" s="348">
        <f ca="1">ROUND(F23*Exchange_Rate,2)</f>
        <v>0.41</v>
      </c>
      <c r="I23" s="73"/>
    </row>
    <row r="24" spans="2:9" ht="15.75" customHeight="1" thickTop="1">
      <c r="C24" s="6"/>
      <c r="D24" s="6"/>
      <c r="E24" s="6"/>
      <c r="F24" s="346" t="s">
        <v>313</v>
      </c>
      <c r="G24" s="347">
        <f ca="1">MIN(G22,G23)+ABS(G22-G23)*'Qualitative Analysis'!$E$64</f>
        <v>0.37838307823129252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315</v>
      </c>
      <c r="C26" s="465" t="s">
        <v>145</v>
      </c>
      <c r="D26" s="466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312</v>
      </c>
      <c r="C27" s="238">
        <f ca="1">MIN(G24,Asset_Model!D7)+ABS(G24-Asset_Model!D7)*'Qualitative Analysis'!$E$8</f>
        <v>0.17747257128176203</v>
      </c>
      <c r="D27" s="117" t="str">
        <f>Dashboard!J4</f>
        <v>HKD</v>
      </c>
      <c r="E27" s="118">
        <f ca="1">(C27-G16)/C9</f>
        <v>-1.2040898432539455</v>
      </c>
      <c r="F27" s="155">
        <f ca="1">C27/(Data!C28*Exchange_Rate*Data!C4/Common_Shares)</f>
        <v>0.27076081294351484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320</v>
      </c>
      <c r="C30" s="335">
        <f ca="1">G24</f>
        <v>0.37838307823129252</v>
      </c>
      <c r="D30" s="334" t="str">
        <f>D27</f>
        <v>HKD</v>
      </c>
      <c r="E30" s="118">
        <f ca="1">(C30-G16)/C9</f>
        <v>1.7932391763993478</v>
      </c>
      <c r="F30" s="155">
        <f ca="1">C30/(Asset_Model!I3*Exchange_Rate*Data!C4/Common_Shares)</f>
        <v>0.57727968398744189</v>
      </c>
      <c r="I30" s="73"/>
    </row>
    <row r="31" spans="2:9" ht="15.75" customHeight="1">
      <c r="B31" s="352" t="s">
        <v>307</v>
      </c>
      <c r="C31" s="350">
        <f ca="1">MIN(C30,C27)+ABS(C30-C27)*'Qualitative Analysis'!E64</f>
        <v>0.25133964261659919</v>
      </c>
      <c r="D31" s="334" t="str">
        <f>D30</f>
        <v>HKD</v>
      </c>
      <c r="E31" s="118">
        <f ca="1">(C31-G16)/C9</f>
        <v>-0.10208716618974946</v>
      </c>
      <c r="F31" s="155">
        <f ca="1">C31/(Asset_Model!I3*Exchange_Rate*Data!C4/Common_Shares)</f>
        <v>0.3834560206588743</v>
      </c>
      <c r="I31" s="73"/>
    </row>
    <row r="32" spans="2:9" ht="15.75" customHeight="1">
      <c r="B32" s="333" t="s">
        <v>314</v>
      </c>
      <c r="C32" s="350">
        <f ca="1">IF(Asset_Model!D7&gt;C27,Asset_Model!D7,C27)/(1+Dashboard!C16)</f>
        <v>0.14197805702540961</v>
      </c>
      <c r="D32" s="334" t="str">
        <f>D30</f>
        <v>HKD</v>
      </c>
      <c r="E32" s="118">
        <f ca="1">(C32-G16)/C9</f>
        <v>-1.7336228140994567</v>
      </c>
      <c r="F32" s="155">
        <f ca="1">C32/(Asset_Model!I3*Exchange_Rate*Data!C4/Common_Shares)</f>
        <v>0.21660865035481186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0</v>
      </c>
      <c r="E3" s="31" t="s">
        <v>170</v>
      </c>
      <c r="G3" s="78" t="s">
        <v>332</v>
      </c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0</v>
      </c>
      <c r="E4" s="31" t="s">
        <v>170</v>
      </c>
      <c r="G4" s="76" t="s">
        <v>333</v>
      </c>
    </row>
    <row r="5" spans="1:7" ht="14">
      <c r="B5" s="6" t="s">
        <v>258</v>
      </c>
      <c r="C5" s="94"/>
      <c r="D5" s="92">
        <f>AVERAGE(D12:D16)</f>
        <v>1.4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259</v>
      </c>
      <c r="C6" s="94"/>
      <c r="D6" s="92">
        <f>AVERAGE(D24:D28)</f>
        <v>1.2</v>
      </c>
      <c r="E6" s="100" t="str">
        <f>IF(D6&gt;=3.5,"Strongly agree",IF(D6&gt;=2.5,"agree",IF(D6&gt;=1.5,"unclear",IF(D6&gt;=0.5,"disagree","Strongly disagree"))))</f>
        <v>disagree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1</v>
      </c>
      <c r="E7" s="99" t="str">
        <f>IF(D64&gt;=3.5,"Strongly agree",IF(D64&gt;=2.5,"agree",IF(D64&gt;=1.5,"unclear",IF(D64&gt;=0.5,"disagree","Strongly disagree"))))</f>
        <v>disagree</v>
      </c>
      <c r="G7" s="78"/>
    </row>
    <row r="8" spans="1:7" ht="14">
      <c r="B8" s="95" t="s">
        <v>149</v>
      </c>
      <c r="C8" s="94"/>
      <c r="D8" s="92">
        <f>AVERAGE(D3:D7)</f>
        <v>0.72</v>
      </c>
      <c r="E8" s="96">
        <f>D8/4</f>
        <v>0.18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1</v>
      </c>
      <c r="E13" s="31" t="s">
        <v>155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2</v>
      </c>
      <c r="E20" s="31" t="s">
        <v>147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1</v>
      </c>
      <c r="E26" s="31" t="s">
        <v>155</v>
      </c>
      <c r="F26" s="6"/>
      <c r="G26" s="274"/>
    </row>
    <row r="27" spans="2:7" ht="15" customHeight="1">
      <c r="B27" s="53" t="s">
        <v>265</v>
      </c>
      <c r="D27" s="98">
        <f t="shared" si="2"/>
        <v>0</v>
      </c>
      <c r="E27" s="31" t="s">
        <v>170</v>
      </c>
      <c r="F27" s="6"/>
      <c r="G27" s="274"/>
    </row>
    <row r="28" spans="2:7" ht="15" customHeight="1">
      <c r="B28" s="53" t="s">
        <v>166</v>
      </c>
      <c r="D28" s="98">
        <f t="shared" si="2"/>
        <v>0</v>
      </c>
      <c r="E28" s="31" t="s">
        <v>170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0.7</v>
      </c>
      <c r="E30" s="49" t="str">
        <f>IF(D30&gt;80%,"Very High",IF(D30&lt;=20%,"Very Low",IF(D30&lt;=40%,"Low",IF(D30&lt;=60%,"Medium","High"))))</f>
        <v>High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3</v>
      </c>
      <c r="E33" s="31" t="s">
        <v>148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4</v>
      </c>
      <c r="E35" s="31" t="s">
        <v>157</v>
      </c>
      <c r="G35" s="274"/>
    </row>
    <row r="36" spans="2:7" ht="15" customHeight="1">
      <c r="B36" s="1" t="s">
        <v>171</v>
      </c>
      <c r="D36" s="101">
        <f>SUM(D37:D41)/(5*4)</f>
        <v>0.45</v>
      </c>
      <c r="E36" s="49" t="str">
        <f>IF(D36&gt;80%,"Very High",IF(D36&lt;=20%,"Very Low",IF(D36&lt;=40%,"Low",IF(D36&lt;=60%,"Medium","High"))))</f>
        <v>Medium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1</v>
      </c>
      <c r="E38" s="31" t="s">
        <v>155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4</v>
      </c>
      <c r="E41" s="31" t="s">
        <v>157</v>
      </c>
      <c r="G41" s="274"/>
    </row>
    <row r="42" spans="2:7" ht="15" customHeight="1">
      <c r="B42" s="1" t="s">
        <v>173</v>
      </c>
      <c r="D42" s="101">
        <f>SUM(D43:D48)/(6*4)</f>
        <v>0.79166666666666663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1</v>
      </c>
      <c r="E43" s="31" t="s">
        <v>155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4</v>
      </c>
      <c r="E46" s="31" t="s">
        <v>157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0.45510204081632655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3.1020408163265305</v>
      </c>
      <c r="E54" s="31" t="s">
        <v>334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0.75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4</v>
      </c>
      <c r="E56" s="31" t="s">
        <v>157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2</v>
      </c>
      <c r="E59" s="31" t="s">
        <v>147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2</v>
      </c>
      <c r="E60" s="31" t="s">
        <v>147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335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0.37064625850340138</v>
      </c>
      <c r="E62" s="49" t="str">
        <f>IF(D62&gt;80%,"Very Low",IF(D62&lt;=20%,"Very High",IF(D62&lt;=40%,"High",IF(D62&lt;=60%,"Medium","Low"))))</f>
        <v>High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1.4706462585034015</v>
      </c>
      <c r="E64" s="123">
        <f>AVERAGE(AVERAGE(D12:D16)/4,AVERAGE(D18:D22)/4,AVERAGE(D24:D28)/4,D62)</f>
        <v>0.36766156462585037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2023-07-27T06:41:16Z</dcterms:modified>
  <cp:category/>
  <cp:contentStatus/>
</cp:coreProperties>
</file>