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94B19E1-AB15-4649-AF9C-B4FC737B71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J27" i="1" l="1"/>
  <c r="I16" i="1"/>
  <c r="C37" i="1"/>
  <c r="B18" i="1" s="1"/>
  <c r="C37" i="4"/>
  <c r="C30" i="4"/>
  <c r="C32" i="4" s="1"/>
  <c r="C33" i="4" s="1"/>
  <c r="C34" i="4" s="1"/>
  <c r="C29" i="4"/>
  <c r="G30" i="4"/>
  <c r="G31" i="4"/>
  <c r="F32" i="4"/>
  <c r="D32" i="4"/>
  <c r="F31" i="4"/>
  <c r="E31" i="4"/>
  <c r="D31" i="4"/>
  <c r="C31" i="4"/>
  <c r="E30" i="4"/>
  <c r="G9" i="7"/>
  <c r="G4" i="7"/>
  <c r="G7" i="7"/>
  <c r="G6" i="7"/>
  <c r="G5" i="7"/>
  <c r="E5" i="7"/>
  <c r="E6" i="7"/>
  <c r="C47" i="4"/>
  <c r="C35" i="4"/>
  <c r="G27" i="4"/>
  <c r="D6" i="4"/>
  <c r="E6" i="4" s="1"/>
  <c r="C10" i="7"/>
  <c r="E7" i="7"/>
  <c r="E4" i="7"/>
  <c r="G32" i="4" l="1"/>
  <c r="E9" i="7"/>
  <c r="E32" i="4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5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9" i="7"/>
  <c r="G19" i="3"/>
  <c r="G20" i="3"/>
  <c r="G31" i="3"/>
  <c r="G33" i="3"/>
  <c r="G34" i="3"/>
  <c r="G35" i="3"/>
  <c r="D53" i="3"/>
  <c r="I53" i="3" s="1"/>
  <c r="I22" i="7"/>
  <c r="I25" i="7" s="1"/>
  <c r="F4" i="4" s="1"/>
  <c r="F28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21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20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8" i="7"/>
  <c r="E18" i="7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24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F33" i="4" l="1"/>
  <c r="F34" i="4" s="1"/>
  <c r="F37" i="4" s="1"/>
  <c r="F39" i="4" s="1"/>
  <c r="G18" i="7"/>
  <c r="E19" i="7"/>
  <c r="D47" i="4"/>
  <c r="D49" i="4" s="1"/>
  <c r="C14" i="4"/>
  <c r="B27" i="4"/>
  <c r="D36" i="5"/>
  <c r="E36" i="5" s="1"/>
  <c r="D6" i="5"/>
  <c r="E6" i="5" s="1"/>
  <c r="D8" i="7"/>
  <c r="D4" i="7"/>
  <c r="D5" i="7"/>
  <c r="D7" i="7"/>
  <c r="D6" i="7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23" i="7"/>
  <c r="C17" i="7"/>
  <c r="C22" i="7" s="1"/>
  <c r="C20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6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D6" i="3" s="1"/>
  <c r="D7" i="3" s="1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21" i="7" s="1"/>
  <c r="C44" i="2"/>
  <c r="E3" i="7"/>
  <c r="C3" i="4"/>
  <c r="C27" i="4" s="1"/>
  <c r="J18" i="1"/>
  <c r="J16" i="1"/>
  <c r="F47" i="4"/>
  <c r="C20" i="4"/>
  <c r="B3" i="7"/>
  <c r="C11" i="1"/>
  <c r="D48" i="4" l="1"/>
  <c r="E15" i="7"/>
  <c r="E17" i="7" s="1"/>
  <c r="E22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F4" i="7"/>
  <c r="F5" i="7"/>
  <c r="F6" i="7"/>
  <c r="F7" i="7"/>
  <c r="E10" i="7"/>
  <c r="C25" i="7"/>
  <c r="C4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C7" i="4" l="1"/>
  <c r="C28" i="4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/>
  <c r="I45" i="3"/>
  <c r="J45" i="3" s="1"/>
  <c r="E25" i="7" l="1"/>
  <c r="E24" i="7" s="1"/>
  <c r="J26" i="3"/>
  <c r="D18" i="5" s="1"/>
  <c r="E64" i="5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15" i="7"/>
  <c r="G10" i="7"/>
  <c r="G3" i="7" s="1"/>
  <c r="E3" i="4" s="1"/>
  <c r="G19" i="7"/>
  <c r="G4" i="4" l="1"/>
  <c r="B21" i="4" s="1"/>
  <c r="G2" i="4" s="1"/>
  <c r="G26" i="4" s="1"/>
  <c r="E27" i="4"/>
  <c r="G17" i="7"/>
  <c r="G22" i="7" s="1"/>
  <c r="G23" i="7" l="1"/>
  <c r="G21" i="7"/>
  <c r="G20" i="7"/>
  <c r="G25" i="7" l="1"/>
  <c r="E4" i="4" l="1"/>
  <c r="E28" i="4" s="1"/>
  <c r="G24" i="7"/>
  <c r="G28" i="4" l="1"/>
  <c r="G33" i="4" s="1"/>
  <c r="G34" i="4" s="1"/>
  <c r="G37" i="4" s="1"/>
  <c r="E33" i="4"/>
  <c r="E34" i="4" s="1"/>
  <c r="E7" i="4"/>
  <c r="E8" i="4" s="1"/>
  <c r="E5" i="4"/>
  <c r="E10" i="4"/>
  <c r="E35" i="4" s="1"/>
  <c r="E11" i="4" l="1"/>
  <c r="E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8" i="4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/>
  <c r="H17" i="1" l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<sst xmlns="http://schemas.openxmlformats.org/spreadsheetml/2006/main" count="448" uniqueCount="380">
  <si>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</si>
  <si>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</si>
  <si>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</si>
  <si>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</si>
  <si>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</si>
  <si>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</si>
  <si>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</si>
  <si>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</si>
  <si>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</si>
  <si>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</si>
  <si>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</si>
  <si>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</si>
  <si>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</si>
  <si>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</si>
  <si>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</si>
  <si>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</si>
  <si>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</si>
  <si>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</si>
  <si>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</si>
  <si>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</si>
  <si>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</si>
  <si>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</si>
  <si>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</si>
  <si>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</si>
  <si>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</si>
  <si>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</si>
  <si>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</si>
  <si>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</si>
  <si>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</si>
  <si>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</si>
  <si>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</si>
  <si>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</si>
  <si>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</si>
  <si>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</si>
  <si>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</si>
  <si>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</si>
  <si>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</si>
  <si>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</si>
  <si>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</si>
  <si>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</si>
  <si>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</si>
  <si>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</si>
  <si>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</si>
  <si>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</si>
  <si>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</si>
  <si>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</si>
  <si>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</si>
  <si>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</si>
  <si>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</si>
  <si>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</si>
  <si>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</si>
  <si>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</si>
  <si>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</si>
  <si>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</si>
  <si>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</si>
  <si>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</si>
  <si>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</si>
  <si>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</si>
  <si>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</si>
  <si>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</si>
  <si>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</si>
  <si>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</si>
  <si>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</si>
  <si>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</si>
  <si>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</si>
  <si>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</si>
  <si>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</si>
  <si>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</si>
  <si>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</si>
  <si>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</si>
  <si>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</si>
  <si>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</si>
  <si>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</si>
  <si>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</si>
  <si>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</si>
  <si>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</si>
  <si>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</si>
  <si>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</si>
  <si>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</si>
  <si>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</si>
  <si>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</si>
  <si>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</si>
  <si>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</si>
  <si>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</si>
  <si>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</si>
  <si>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</si>
  <si>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</si>
  <si>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</si>
  <si>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</si>
  <si>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</si>
  <si>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</si>
  <si>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</si>
  <si>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</si>
  <si>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</si>
  <si>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</si>
  <si>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</si>
  <si>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</si>
  <si>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</si>
  <si>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</si>
  <si>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</si>
  <si>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</si>
  <si>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</si>
  <si>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</si>
  <si>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</si>
  <si>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</si>
  <si>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</si>
  <si>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</si>
  <si>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</si>
  <si>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</si>
  <si>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</si>
  <si>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</si>
  <si>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</si>
  <si>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</si>
  <si>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</si>
  <si>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</si>
  <si>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</si>
  <si>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</si>
  <si>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</si>
  <si>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</si>
  <si>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</si>
  <si>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</si>
  <si>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</si>
  <si>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</si>
  <si>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</si>
  <si>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</si>
  <si>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</si>
  <si>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</si>
  <si>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</si>
  <si>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</si>
  <si>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</si>
  <si>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</si>
  <si>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</si>
  <si>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</si>
  <si>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</si>
  <si>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</si>
  <si>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</si>
  <si>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</si>
  <si>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</si>
  <si>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</si>
  <si>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</si>
  <si>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</si>
  <si>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</si>
  <si>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</si>
  <si>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</si>
  <si>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</si>
  <si>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</si>
  <si>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</si>
  <si>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</si>
  <si>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</si>
  <si>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</si>
  <si>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</si>
  <si>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</si>
  <si>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</si>
  <si>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</si>
  <si>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</si>
  <si>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</si>
  <si>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</si>
  <si>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</si>
  <si>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</si>
  <si>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</si>
  <si>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</si>
  <si>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</si>
  <si>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</si>
  <si>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</si>
  <si>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</si>
  <si>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</si>
  <si>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</si>
  <si>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</si>
  <si>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</si>
  <si>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</si>
  <si>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</si>
  <si>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</si>
  <si>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</si>
  <si>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</si>
  <si>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</si>
  <si>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</si>
  <si>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</si>
  <si>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</si>
  <si>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</si>
  <si>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</si>
  <si>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</si>
  <si>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</si>
  <si>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</si>
  <si>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</si>
  <si>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</si>
  <si>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</si>
  <si>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</si>
  <si>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</si>
  <si>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</si>
  <si>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</si>
  <si>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</si>
  <si>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</si>
  <si>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</si>
  <si>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</si>
  <si>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</si>
  <si>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</si>
  <si>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</si>
  <si>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</si>
  <si>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</si>
  <si>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</si>
  <si>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</si>
  <si>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</si>
  <si>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</si>
  <si>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</si>
  <si>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</si>
  <si>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</si>
  <si>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</si>
  <si>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</si>
  <si>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</si>
  <si>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</si>
  <si>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</si>
  <si>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</si>
  <si>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</si>
  <si>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</si>
  <si>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</si>
  <si>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</si>
  <si>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</si>
  <si>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</si>
  <si>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</si>
  <si>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</si>
  <si>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</si>
  <si>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</si>
  <si>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</si>
  <si>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</si>
  <si>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</si>
  <si>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</si>
  <si>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</si>
  <si>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</si>
  <si>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</si>
  <si>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</si>
  <si>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</si>
  <si>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</si>
  <si>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</si>
  <si>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</si>
  <si>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</si>
  <si>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</si>
  <si>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</si>
  <si>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</si>
  <si>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</si>
  <si>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</si>
  <si>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</si>
  <si>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</si>
  <si>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</si>
  <si>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</si>
  <si>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</si>
  <si>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</si>
  <si>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</si>
  <si>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</si>
  <si>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</si>
  <si>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</si>
  <si>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</si>
  <si>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</si>
  <si>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</si>
  <si>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</si>
  <si>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</si>
  <si>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</si>
  <si>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</si>
  <si>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</si>
  <si>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</si>
  <si>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</si>
  <si>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</si>
  <si>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</si>
  <si>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</si>
  <si>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</si>
  <si>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</si>
  <si>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</si>
  <si>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</si>
  <si>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</si>
  <si>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</si>
  <si>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</si>
  <si>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</si>
  <si>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</si>
  <si>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</si>
  <si>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</si>
  <si>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</si>
  <si>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</si>
  <si>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</si>
  <si>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</si>
  <si>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</si>
  <si>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</si>
  <si>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</si>
  <si>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</si>
  <si>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</si>
  <si>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</si>
  <si>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</si>
  <si>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</si>
  <si>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</si>
  <si>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</si>
  <si>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</si>
  <si>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</si>
  <si>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</si>
  <si>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</si>
  <si>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</si>
  <si>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</si>
  <si>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</si>
  <si>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</si>
  <si>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</si>
  <si>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</si>
  <si>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</si>
  <si>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</si>
  <si>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</si>
  <si>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</si>
  <si>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</si>
  <si>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</si>
  <si>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</si>
  <si>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</si>
  <si>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</si>
  <si>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</si>
  <si>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</si>
  <si>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</si>
  <si>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</si>
  <si>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</si>
  <si>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</si>
  <si>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</si>
  <si>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</si>
  <si>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</si>
  <si>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</si>
  <si>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</si>
  <si>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</si>
  <si>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</si>
  <si>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</si>
  <si>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</si>
  <si>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</si>
  <si>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</si>
  <si>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</si>
  <si>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</si>
  <si>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</si>
  <si>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</si>
  <si>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</si>
  <si>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</si>
  <si>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</si>
  <si>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</si>
  <si>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</si>
  <si>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0071.HK</t>
  </si>
  <si>
    <t>MIRAMAR HOTEL</t>
  </si>
  <si>
    <t>FY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</si>
  <si>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</si>
  <si>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</si>
  <si>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</si>
  <si>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</si>
  <si>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</si>
  <si>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</si>
  <si>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</si>
  <si>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</si>
  <si>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</si>
  <si>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>HK Tax Rate</t>
  </si>
  <si>
    <t>Consumer Discretionary, 12.4y</t>
  </si>
  <si>
    <t>non-perishable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</si>
  <si>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</si>
  <si>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</si>
  <si>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</si>
  <si>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</si>
  <si>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</si>
  <si>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</si>
  <si>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</si>
  <si>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</si>
  <si>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</si>
  <si>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</si>
  <si>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</si>
  <si>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</si>
  <si>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</si>
  <si>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</si>
  <si>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</si>
  <si>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</si>
  <si>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</si>
  <si>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 xml:space="preserve">Average PB of 0.49 in the last 5 years , Average PB of 0.45 in the last 3 years 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</si>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</sst>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10" fontId="7" fillId="0" borderId="18" xfId="0" applyNumberFormat="1" applyFont="1" applyBorder="1" applyAlignment="1">
      <alignment horizontal="center"/>
    </xf>
    <xf numFmtId="10" fontId="7" fillId="0" borderId="117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8" xfId="0" applyFont="1" applyFill="1" applyBorder="1" applyAlignment="1">
      <alignment horizontal="center"/>
    </xf>
    <xf numFmtId="4" fontId="1" fillId="0" borderId="119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1" xfId="0" applyNumberFormat="1" applyFont="1" applyBorder="1" applyAlignment="1">
      <alignment horizontal="center"/>
    </xf>
    <xf numFmtId="4" fontId="1" fillId="0" borderId="122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3" xfId="0" applyNumberFormat="1" applyFont="1" applyBorder="1" applyAlignment="1">
      <alignment horizontal="center"/>
    </xf>
    <xf numFmtId="4" fontId="1" fillId="10" borderId="124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6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5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9" t="s">
        <v>333</v>
      </c>
      <c r="D3" s="420"/>
      <c r="E3" s="15"/>
      <c r="G3" s="7" t="s">
        <v>2</v>
      </c>
      <c r="I3" s="431" t="s">
        <v>3</v>
      </c>
      <c r="J3" s="432"/>
    </row>
    <row r="4" spans="1:12" ht="15.75" customHeight="1">
      <c r="B4" s="5" t="s">
        <v>4</v>
      </c>
      <c r="C4" s="421" t="s">
        <v>334</v>
      </c>
      <c r="D4" s="422"/>
      <c r="E4" s="6"/>
      <c r="G4" s="5" t="s">
        <v>5</v>
      </c>
      <c r="I4" s="31">
        <v>11.18</v>
      </c>
      <c r="J4" s="32" t="s">
        <v>6</v>
      </c>
      <c r="K4" s="145"/>
    </row>
    <row r="5" spans="1:12" ht="15.75" customHeight="1">
      <c r="B5" s="5" t="s">
        <v>7</v>
      </c>
      <c r="C5" s="423">
        <v>44959</v>
      </c>
      <c r="D5" s="422"/>
      <c r="E5" s="118" t="str">
        <f ca="1">IF(C5+30&gt;=TODAY(),"Patience Premium","")</f>
        <v/>
      </c>
      <c r="G5" s="5" t="s">
        <v>8</v>
      </c>
      <c r="I5" s="433">
        <v>690960000</v>
      </c>
      <c r="J5" s="434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35">
        <f>I4*I5/1000000</f>
        <v>7724.9327999999996</v>
      </c>
      <c r="J6" s="436"/>
      <c r="K6" s="144"/>
    </row>
    <row r="7" spans="1:12" ht="15.75" customHeight="1">
      <c r="B7" s="132" t="s">
        <v>10</v>
      </c>
      <c r="C7" s="138">
        <f>(Data!C39*Exchange_Rate)/I4</f>
        <v>0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16.09012380650859</v>
      </c>
      <c r="J9" s="47">
        <f>IF(I9="NNI","NNI",1/I9)</f>
        <v>6.214992575728296E-2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0.38392214498099803</v>
      </c>
      <c r="J10" s="123">
        <f>IF(Asset_Model!D60/'Val Models'!C4&lt;0,"Negative EV",Asset_Model!D60/'Val Models'!C4)</f>
        <v>5.8928475348908789</v>
      </c>
    </row>
    <row r="11" spans="1:12" ht="15.75" customHeight="1" thickBot="1">
      <c r="B11" s="280" t="s">
        <v>251</v>
      </c>
      <c r="C11" s="450">
        <f ca="1">C12-D10</f>
        <v>2.3189999999999995E-2</v>
      </c>
      <c r="D11" s="451"/>
      <c r="E11" s="13"/>
      <c r="G11" s="5" t="s">
        <v>15</v>
      </c>
      <c r="H11" s="6"/>
      <c r="I11" s="448" t="s">
        <v>6</v>
      </c>
      <c r="J11" s="449"/>
    </row>
    <row r="12" spans="1:12" ht="15.75" customHeight="1" thickTop="1">
      <c r="B12" s="281" t="s">
        <v>141</v>
      </c>
      <c r="C12" s="446">
        <f ca="1">IF(C10="CN",8%,6%)*IF($C$5+30&gt;=TODAY(),1.2,1)</f>
        <v>0.06</v>
      </c>
      <c r="D12" s="447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11.926168990330419</v>
      </c>
      <c r="F14" s="177"/>
      <c r="G14" s="178"/>
      <c r="H14" s="337" t="s">
        <v>379</v>
      </c>
      <c r="I14" s="392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378</v>
      </c>
      <c r="D15" s="86" t="s">
        <v>19</v>
      </c>
      <c r="E15" s="132"/>
      <c r="F15" s="59" t="s">
        <v>22</v>
      </c>
      <c r="H15" s="342" t="s">
        <v>21</v>
      </c>
      <c r="I15" s="86" t="s">
        <v>366</v>
      </c>
      <c r="J15" s="86" t="s">
        <v>20</v>
      </c>
    </row>
    <row r="16" spans="1:12" ht="15.75" customHeight="1">
      <c r="B16" s="124">
        <f>I4</f>
        <v>11.18</v>
      </c>
      <c r="C16" s="467">
        <v>0.2</v>
      </c>
      <c r="D16" s="152">
        <f ca="1">I37/B16-(1+C16)</f>
        <v>-4.1288553521941829E-2</v>
      </c>
      <c r="E16" s="440" t="s">
        <v>23</v>
      </c>
      <c r="F16" s="437">
        <f>('Val Models'!G16)*Exchange_Rate</f>
        <v>7.5033709621396314</v>
      </c>
      <c r="G16" s="440" t="s">
        <v>24</v>
      </c>
      <c r="H16" s="343">
        <f>B16-$F$16</f>
        <v>3.6766290378603683</v>
      </c>
      <c r="I16" s="458">
        <f>0.28+0.21</f>
        <v>0.49</v>
      </c>
      <c r="J16" s="154">
        <f>I16/B16</f>
        <v>4.3828264758497319E-2</v>
      </c>
    </row>
    <row r="17" spans="1:10" ht="15.75" customHeight="1">
      <c r="B17" s="261">
        <f ca="1">MIN((I37+I38)/2,E14,I37/(1+C16))</f>
        <v>10.795328309687243</v>
      </c>
      <c r="C17" s="468"/>
      <c r="D17" s="260">
        <f ca="1">I37/B17-(1+C16)</f>
        <v>0</v>
      </c>
      <c r="E17" s="441"/>
      <c r="F17" s="438"/>
      <c r="G17" s="441"/>
      <c r="H17" s="344">
        <f ca="1">B17-$F$16</f>
        <v>3.2919573475476112</v>
      </c>
      <c r="I17" s="459"/>
      <c r="J17" s="155">
        <f ca="1">I16/B17</f>
        <v>4.5390004448525756E-2</v>
      </c>
    </row>
    <row r="18" spans="1:10" ht="15.75" customHeight="1">
      <c r="B18" s="315">
        <f>C37</f>
        <v>10.79</v>
      </c>
      <c r="C18" s="469"/>
      <c r="D18" s="153">
        <f ca="1">I37/B18-(1+C16)</f>
        <v>5.9258309774712359E-4</v>
      </c>
      <c r="E18" s="442"/>
      <c r="F18" s="439"/>
      <c r="G18" s="442"/>
      <c r="H18" s="345">
        <f>B18-$F$16</f>
        <v>3.2866290378603678</v>
      </c>
      <c r="I18" s="460"/>
      <c r="J18" s="156">
        <f>I16/B18</f>
        <v>4.5412418906394809E-2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6"/>
      <c r="D21" s="427"/>
      <c r="E21" s="427"/>
      <c r="F21" s="427"/>
      <c r="G21" s="427"/>
      <c r="H21" s="427"/>
      <c r="I21" s="427"/>
      <c r="J21" s="428"/>
    </row>
    <row r="22" spans="1:10" ht="52.5" customHeight="1">
      <c r="A22" s="6"/>
      <c r="B22" s="24" t="s">
        <v>27</v>
      </c>
      <c r="C22" s="444"/>
      <c r="D22" s="445"/>
      <c r="E22" s="445"/>
      <c r="F22" s="445"/>
      <c r="G22" s="444"/>
      <c r="H22" s="444"/>
      <c r="I22" s="445"/>
      <c r="J22" s="445"/>
    </row>
    <row r="23" spans="1:10" ht="52.5" customHeight="1">
      <c r="A23" s="6"/>
      <c r="B23" s="24" t="s">
        <v>28</v>
      </c>
      <c r="C23" s="429"/>
      <c r="D23" s="430"/>
      <c r="E23" s="430"/>
      <c r="F23" s="430"/>
      <c r="G23" s="429"/>
      <c r="H23" s="429"/>
      <c r="I23" s="430"/>
      <c r="J23" s="430"/>
    </row>
    <row r="24" spans="1:10" ht="52.5" customHeight="1">
      <c r="A24" s="6"/>
      <c r="B24" s="24" t="s">
        <v>325</v>
      </c>
      <c r="C24" s="394"/>
      <c r="D24" s="395"/>
      <c r="E24" s="395"/>
      <c r="F24" s="395"/>
      <c r="G24" s="395"/>
      <c r="H24" s="395"/>
      <c r="I24" s="395"/>
      <c r="J24" s="396"/>
    </row>
    <row r="25" spans="1:10" ht="52.5" customHeight="1">
      <c r="A25" s="6"/>
      <c r="B25" s="350" t="s">
        <v>324</v>
      </c>
      <c r="C25" s="397"/>
      <c r="D25" s="398"/>
      <c r="E25" s="398"/>
      <c r="F25" s="398"/>
      <c r="G25" s="398"/>
      <c r="H25" s="398"/>
      <c r="I25" s="398"/>
      <c r="J25" s="39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3">
        <f>C16</f>
        <v>0.2</v>
      </c>
    </row>
    <row r="28" spans="1:10" ht="15.75" customHeight="1">
      <c r="B28" s="23" t="s">
        <v>31</v>
      </c>
      <c r="C28" s="424">
        <v>44988</v>
      </c>
      <c r="D28" s="425"/>
      <c r="E28" s="464" t="str">
        <f>IF(C28="","","Action_Planning")</f>
        <v>Action_Planning</v>
      </c>
      <c r="F28" s="465"/>
      <c r="G28" s="465"/>
      <c r="H28" s="466"/>
      <c r="I28" s="443" t="s">
        <v>32</v>
      </c>
      <c r="J28" s="443"/>
    </row>
    <row r="29" spans="1:10" ht="15.75" customHeight="1">
      <c r="B29" s="23" t="s">
        <v>33</v>
      </c>
      <c r="C29" s="457">
        <f>C33/D27</f>
        <v>5.4090909090909092E-2</v>
      </c>
      <c r="D29" s="456"/>
      <c r="E29" s="455">
        <f>E33/D27</f>
        <v>0.14713636363636362</v>
      </c>
      <c r="F29" s="456"/>
      <c r="G29" s="462">
        <f>G33/D27</f>
        <v>0</v>
      </c>
      <c r="H29" s="463"/>
      <c r="I29" s="461">
        <f>C29+E29+G29</f>
        <v>0.2012272727272727</v>
      </c>
      <c r="J29" s="461"/>
    </row>
    <row r="30" spans="1:10" ht="15.75" customHeight="1">
      <c r="B30" s="23" t="s">
        <v>34</v>
      </c>
      <c r="C30" s="471">
        <v>3000</v>
      </c>
      <c r="D30" s="472"/>
      <c r="E30" s="471">
        <v>9000</v>
      </c>
      <c r="F30" s="472"/>
      <c r="G30" s="433"/>
      <c r="H30" s="434"/>
      <c r="I30" s="470">
        <f>C30+E30+G30</f>
        <v>12000</v>
      </c>
      <c r="J30" s="470"/>
    </row>
    <row r="31" spans="1:10" ht="15.75" customHeight="1">
      <c r="B31" s="23" t="s">
        <v>35</v>
      </c>
      <c r="C31" s="473">
        <v>11.9</v>
      </c>
      <c r="D31" s="472"/>
      <c r="E31" s="473">
        <v>10.79</v>
      </c>
      <c r="F31" s="472"/>
      <c r="G31" s="453"/>
      <c r="H31" s="454"/>
      <c r="I31" s="452"/>
      <c r="J31" s="452"/>
    </row>
    <row r="32" spans="1:10" ht="15.75" customHeight="1">
      <c r="B32" s="23" t="s">
        <v>36</v>
      </c>
      <c r="C32" s="412">
        <f>C31*$I$5/1000000</f>
        <v>8222.4240000000009</v>
      </c>
      <c r="D32" s="474"/>
      <c r="E32" s="412">
        <f>E31*$I$5/1000000</f>
        <v>7455.4583999999986</v>
      </c>
      <c r="F32" s="474"/>
      <c r="G32" s="407">
        <f>G31*$I$5/1000000</f>
        <v>0</v>
      </c>
      <c r="H32" s="408"/>
      <c r="I32" s="411"/>
      <c r="J32" s="411"/>
    </row>
    <row r="33" spans="2:11" ht="15.75" customHeight="1">
      <c r="B33" s="2" t="s">
        <v>37</v>
      </c>
      <c r="C33" s="475">
        <f>C30*C31</f>
        <v>35700</v>
      </c>
      <c r="D33" s="476"/>
      <c r="E33" s="413">
        <f>E30*E31</f>
        <v>97109.999999999985</v>
      </c>
      <c r="F33" s="477"/>
      <c r="G33" s="409">
        <f>G30*G31</f>
        <v>0</v>
      </c>
      <c r="H33" s="410"/>
      <c r="I33" s="413">
        <f>C33+E33+G33</f>
        <v>132810</v>
      </c>
      <c r="J33" s="413"/>
    </row>
    <row r="34" spans="2:11" ht="15.75" customHeight="1">
      <c r="B34" s="1" t="s">
        <v>38</v>
      </c>
      <c r="C34" s="415"/>
      <c r="D34" s="416"/>
      <c r="E34" s="414">
        <f>IF(C33=0,"-",(C33+E33)/(C30+E30))</f>
        <v>11.067500000000001</v>
      </c>
      <c r="F34" s="456"/>
      <c r="G34" s="113"/>
      <c r="H34" s="113"/>
      <c r="I34" s="414">
        <f>IF(I33=0,"",I33/I30)</f>
        <v>11.067500000000001</v>
      </c>
      <c r="J34" s="414"/>
    </row>
    <row r="35" spans="2:11" ht="15.75" customHeight="1">
      <c r="B35" s="1" t="s">
        <v>39</v>
      </c>
      <c r="C35" s="417"/>
      <c r="D35" s="418"/>
      <c r="E35" s="412">
        <f>IF(E34="-","-",E34*$I$5/1000000)</f>
        <v>7647.1998000000012</v>
      </c>
      <c r="F35" s="474"/>
      <c r="G35" s="114"/>
      <c r="H35" s="114"/>
      <c r="I35" s="412">
        <f>IF(I34="","",I34*$I$5/1000000)</f>
        <v>7647.1998000000012</v>
      </c>
      <c r="J35" s="412"/>
    </row>
    <row r="36" spans="2:11" ht="15.75" customHeight="1"/>
    <row r="37" spans="2:11" ht="15.75" customHeight="1">
      <c r="B37" s="139" t="s">
        <v>281</v>
      </c>
      <c r="C37" s="403">
        <f>E31</f>
        <v>10.79</v>
      </c>
      <c r="D37" s="404"/>
      <c r="E37" s="149" t="str">
        <f ca="1">IF(C37&gt;B17,"Caution! &gt; Breakeven price!","")</f>
        <v/>
      </c>
      <c r="G37" s="400" t="s">
        <v>372</v>
      </c>
      <c r="H37" s="400"/>
      <c r="I37" s="401">
        <f ca="1">'Val Models'!C48</f>
        <v>12.95439397162469</v>
      </c>
      <c r="J37" s="402"/>
    </row>
    <row r="38" spans="2:11" ht="15.75" customHeight="1">
      <c r="B38" s="139" t="s">
        <v>312</v>
      </c>
      <c r="C38" s="403">
        <f>E34</f>
        <v>11.067500000000001</v>
      </c>
      <c r="D38" s="404"/>
      <c r="G38" s="405" t="s">
        <v>310</v>
      </c>
      <c r="H38" s="406"/>
      <c r="I38" s="401">
        <f ca="1">'Val Models'!C49</f>
        <v>10.343479968966635</v>
      </c>
      <c r="J38" s="402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0.6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0.46046768707482999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8.860453543064617E-2</v>
      </c>
      <c r="F47" s="321">
        <f ca="1">I37/C38-1</f>
        <v>0.17048962924099298</v>
      </c>
      <c r="J47" s="348"/>
    </row>
    <row r="48" spans="2:11" ht="15.75" customHeight="1">
      <c r="B48" s="3" t="s">
        <v>297</v>
      </c>
      <c r="E48" s="321">
        <f ca="1">'Val Models'!C49/C31-1</f>
        <v>-0.13080000260784586</v>
      </c>
      <c r="F48" s="321">
        <f ca="1">'Val Models'!C49/C38-1</f>
        <v>-6.5418570682933441E-2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0.56069807284561213</v>
      </c>
      <c r="F50" s="321">
        <f ca="1">IF(F47&lt;=0,0,AVERAGE(F41:F43,1-F44,F47/C16))</f>
        <v>0.64258316665595894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0.67740469162140027</v>
      </c>
      <c r="F51" s="320">
        <f ca="1">IF(F48&gt;=0,100,F47/ABS(F48))</f>
        <v>2.6061350387386364</v>
      </c>
      <c r="G51" s="72"/>
    </row>
    <row r="52" spans="2:9" ht="15.75" customHeight="1">
      <c r="B52" s="3" t="s">
        <v>317</v>
      </c>
      <c r="E52" s="346">
        <f ca="1">MAX(C16*2/E47,1)</f>
        <v>4.514441592136035</v>
      </c>
      <c r="F52" s="346">
        <f ca="1">MAX(C16*2/F47,1)</f>
        <v>2.346183763673896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0.21543016866072562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16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480104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637389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1382231</v>
      </c>
      <c r="D7" s="34">
        <v>1247025</v>
      </c>
      <c r="E7" s="34">
        <v>1314605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0.10842284637437105</v>
      </c>
      <c r="D8" s="14">
        <f t="shared" si="1"/>
        <v>-5.1407076650400674E-2</v>
      </c>
      <c r="E8" s="14">
        <f t="shared" si="1"/>
        <v>-0.5706296232424819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703033</v>
      </c>
      <c r="D9" s="34">
        <v>557767</v>
      </c>
      <c r="E9" s="34">
        <v>688814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0.4913780692228723</v>
      </c>
      <c r="D10" s="14">
        <f t="shared" si="2"/>
        <v>0.55272187806980611</v>
      </c>
      <c r="E10" s="14">
        <f t="shared" si="2"/>
        <v>0.4760296819196641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41809</v>
      </c>
      <c r="D11" s="34">
        <v>35832</v>
      </c>
      <c r="E11" s="34">
        <v>59216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3.0247476724223399E-2</v>
      </c>
      <c r="D12" s="14">
        <f t="shared" si="3"/>
        <v>2.8733986888795249E-2</v>
      </c>
      <c r="E12" s="14">
        <f t="shared" si="3"/>
        <v>4.5044709247264392E-2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0.46113059249864891</v>
      </c>
      <c r="D13" s="14">
        <f t="shared" si="4"/>
        <v>0.52398789118101086</v>
      </c>
      <c r="E13" s="14">
        <f t="shared" si="4"/>
        <v>0.43098497267239971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637389</v>
      </c>
      <c r="D14" s="26">
        <f t="shared" si="5"/>
        <v>653426</v>
      </c>
      <c r="E14" s="26">
        <f t="shared" si="5"/>
        <v>566575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-2.4542947479898259E-2</v>
      </c>
      <c r="D15" s="14">
        <f t="shared" ref="D15:M15" si="6">IF(E14="","",IF(ABS(D14+E14)=ABS(D14)+ABS(E14),IF(D14&lt;0,-1,1)*(D14-E14)/E14,"Turn"))</f>
        <v>0.15329126770506993</v>
      </c>
      <c r="E15" s="14">
        <f t="shared" si="6"/>
        <v>-0.51321993532223753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IF(C14="","",C14*(1-Operation!$D$23))</f>
        <v>637389</v>
      </c>
      <c r="D16" s="136">
        <f>IF(D14="","",D14*(1-Operation!$D$23))</f>
        <v>653426</v>
      </c>
      <c r="E16" s="136">
        <f>IF(E14="","",E14*(1-Operation!$D$23))</f>
        <v>566575</v>
      </c>
      <c r="F16" s="136">
        <f>IF(F14="","",F14*(1-Operation!$D$23))</f>
        <v>1163924</v>
      </c>
      <c r="G16" s="136" t="str">
        <f>IF(G14="","",G14*(1-Operation!$D$23))</f>
        <v/>
      </c>
      <c r="H16" s="136" t="str">
        <f>IF(H14="","",H14*(1-Operation!$D$23))</f>
        <v/>
      </c>
      <c r="I16" s="136" t="str">
        <f>IF(I14="","",I14*(1-Operation!$D$23))</f>
        <v/>
      </c>
      <c r="J16" s="136" t="str">
        <f>IF(J14="","",J14*(1-Operation!$D$23))</f>
        <v/>
      </c>
      <c r="K16" s="136" t="str">
        <f>IF(K14="","",K14*(1-Operation!$D$23))</f>
        <v/>
      </c>
      <c r="L16" s="136" t="str">
        <f>IF(L14="","",L14*(1-Operation!$D$23))</f>
        <v/>
      </c>
      <c r="M16" s="223" t="str">
        <f>IF(M14="","",M14*(1-Operation!$D$23))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0.46113059249864891</v>
      </c>
      <c r="D17" s="122">
        <f t="shared" si="7"/>
        <v>0.52398789118101086</v>
      </c>
      <c r="E17" s="122">
        <f t="shared" si="7"/>
        <v>0.43098497267239971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2140</v>
      </c>
      <c r="D18" s="137">
        <v>2235</v>
      </c>
      <c r="E18" s="137">
        <v>3320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480104</v>
      </c>
      <c r="D19" s="34">
        <v>329958</v>
      </c>
      <c r="E19" s="34">
        <v>301899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0.45504579370707787</v>
      </c>
      <c r="D20" s="14">
        <f t="shared" ref="D20:M20" si="8">IF(E19="","",IF(ABS(D19+E19)=ABS(D19)+ABS(E19),IF(D19&lt;0,-1,1)*(D19-E19)/E19,"Turn"))</f>
        <v>9.2941679170848529E-2</v>
      </c>
      <c r="E20" s="14">
        <f t="shared" si="8"/>
        <v>-0.76564766923841843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5780229</v>
      </c>
      <c r="D21" s="34">
        <v>5604062</v>
      </c>
      <c r="E21" s="34">
        <v>5413700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625412</v>
      </c>
      <c r="D22" s="34">
        <v>526890</v>
      </c>
      <c r="E22" s="34">
        <v>515132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42005</v>
      </c>
      <c r="D23" s="34">
        <v>39109</v>
      </c>
      <c r="E23" s="34">
        <v>45781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42005</v>
      </c>
      <c r="D24" s="133">
        <v>39109</v>
      </c>
      <c r="E24" s="133">
        <v>42788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57055</v>
      </c>
      <c r="D25" s="34">
        <v>47305</v>
      </c>
      <c r="E25" s="34">
        <v>44376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57055</v>
      </c>
      <c r="D26" s="133">
        <v>47305</v>
      </c>
      <c r="E26" s="133">
        <v>44376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99060</v>
      </c>
      <c r="D27" s="26">
        <f t="shared" si="9"/>
        <v>86414</v>
      </c>
      <c r="E27" s="26">
        <f t="shared" si="9"/>
        <v>90157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20121092</v>
      </c>
      <c r="D28" s="34">
        <v>20042186</v>
      </c>
      <c r="E28" s="34">
        <v>19998157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19966164</v>
      </c>
      <c r="D29" s="133">
        <v>19881690</v>
      </c>
      <c r="E29" s="133">
        <v>19850643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243053</v>
      </c>
      <c r="D30" s="34">
        <v>201443</v>
      </c>
      <c r="E30" s="34">
        <v>244827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4027952</v>
      </c>
      <c r="D31" s="34">
        <v>2954360</v>
      </c>
      <c r="E31" s="34">
        <v>4276107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0.17119722858800343</v>
      </c>
      <c r="D32" s="14">
        <f t="shared" si="10"/>
        <v>-0.21536613334789495</v>
      </c>
      <c r="E32" s="14">
        <f t="shared" si="10"/>
        <v>-0.46935999705914788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10153.970600000001</v>
      </c>
      <c r="D33" s="228">
        <f>IF(E7="","",(D7-E7)*Asset_Model!$D$65)</f>
        <v>-5075.2579999999998</v>
      </c>
      <c r="E33" s="228">
        <f>IF(F7="","",(E7-F7)*Asset_Model!$D$65)</f>
        <v>-131207.1349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51763.970600000001</v>
      </c>
      <c r="D34" s="136">
        <f t="shared" si="11"/>
        <v>-48459.258000000002</v>
      </c>
      <c r="E34" s="136">
        <f t="shared" si="11"/>
        <v>-246119.1349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8.1212525788804016E-2</v>
      </c>
      <c r="D35" s="219">
        <f t="shared" si="12"/>
        <v>-7.4161814803818643E-2</v>
      </c>
      <c r="E35" s="219">
        <f t="shared" si="12"/>
        <v>-0.43439815540749238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0</v>
      </c>
      <c r="D37" s="158">
        <v>0</v>
      </c>
      <c r="E37" s="158">
        <v>0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</v>
      </c>
      <c r="D39" s="163">
        <f t="shared" si="13"/>
        <v>0</v>
      </c>
      <c r="E39" s="163">
        <f t="shared" si="13"/>
        <v>0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2.8355816871171802E-3</v>
      </c>
      <c r="D42" s="47">
        <f t="shared" ref="D42:M42" si="15">IF(D29="","",D25/D29)</f>
        <v>2.3793248964248011E-3</v>
      </c>
      <c r="E42" s="47">
        <f t="shared" si="15"/>
        <v>2.235494336379935E-3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4.9613936858377006E-3</v>
      </c>
      <c r="D43" s="14">
        <f t="shared" si="16"/>
        <v>4.3464111954265462E-3</v>
      </c>
      <c r="E43" s="14">
        <f t="shared" si="16"/>
        <v>4.5417672364567738E-3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6.4343731072077528</v>
      </c>
      <c r="D44" s="49">
        <f t="shared" si="17"/>
        <v>7.5615756706089288</v>
      </c>
      <c r="E44" s="49">
        <f t="shared" si="17"/>
        <v>6.2843151391461562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3.3574473359282951E-3</v>
      </c>
      <c r="D45" s="14">
        <f t="shared" si="18"/>
        <v>3.4204332242671704E-3</v>
      </c>
      <c r="E45" s="14">
        <f t="shared" si="18"/>
        <v>5.8597714336142614E-3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9.2422738930497008</v>
      </c>
      <c r="D46" s="50">
        <f t="shared" si="19"/>
        <v>10.63611379984437</v>
      </c>
      <c r="E46" s="50">
        <f t="shared" si="19"/>
        <v>10.509345177546725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0.46113059249864891</v>
      </c>
      <c r="D48" s="354">
        <f>D13</f>
        <v>0.52398789118101086</v>
      </c>
      <c r="E48" s="354">
        <f t="shared" ref="E48:M48" si="20">E13</f>
        <v>0.43098497267239971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5.2413211761576428E-2</v>
      </c>
      <c r="D49" s="352">
        <f>IF(D7="","",D7/(D29+D21+D22))</f>
        <v>4.793919049053149E-2</v>
      </c>
      <c r="E49" s="352">
        <f t="shared" ref="E49:M49" si="21">IF(E7="","",E7/(E29+E21+E22))</f>
        <v>5.0994250270806521E-2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1.3208248214329001</v>
      </c>
      <c r="D50" s="353">
        <f>IF(D29="","",(D29+D21+D22)/D29)</f>
        <v>1.3083717732245095</v>
      </c>
      <c r="E50" s="353">
        <f t="shared" ref="E50:M50" si="22">IF(E29="","",(E29+E21+E22)/E29)</f>
        <v>1.2986720379788201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3.1923458106424447E-2</v>
      </c>
      <c r="D51" s="356">
        <f>IF(D48="","",D48*D49*D50)</f>
        <v>3.2865717149799641E-2</v>
      </c>
      <c r="E51" s="356">
        <f t="shared" ref="E51:M51" si="23">IF(E48="","",E48*E49*E50)</f>
        <v>2.8541896602543301E-2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2.5925846647358E-3</v>
      </c>
      <c r="D52" s="355">
        <f>IF(D35="","",D35*D51)</f>
        <v>-2.4373812286581273E-3</v>
      </c>
      <c r="E52" s="355">
        <f t="shared" ref="E52:M52" si="24">IF(E35="","",E35*E51)</f>
        <v>-1.2398547235976184E-2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C14" sqref="C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20121092</v>
      </c>
      <c r="E3" s="149" t="str">
        <f>IF((C46-I46)=D3,"", "Error!")</f>
        <v/>
      </c>
      <c r="F3" s="6"/>
      <c r="G3" s="6"/>
      <c r="H3" s="250" t="s">
        <v>239</v>
      </c>
      <c r="I3" s="251">
        <v>19966164</v>
      </c>
      <c r="K3" s="72"/>
    </row>
    <row r="4" spans="1:11" ht="15" customHeight="1">
      <c r="B4" s="5" t="s">
        <v>213</v>
      </c>
      <c r="C4" s="6"/>
      <c r="D4" s="252">
        <f>D3-I3</f>
        <v>154928</v>
      </c>
      <c r="E4" s="143"/>
      <c r="F4" s="6"/>
      <c r="G4" s="6"/>
      <c r="H4" s="59" t="s">
        <v>80</v>
      </c>
      <c r="I4" s="87">
        <f>(I3*Dashboard!I12*Data!C4)/Dashboard!I5</f>
        <v>28.896266064605765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374</v>
      </c>
      <c r="C6" s="6"/>
      <c r="D6" s="58">
        <f>E46-I46-E50</f>
        <v>8965289.1500000004</v>
      </c>
      <c r="E6" s="14">
        <f>1-D6/D3</f>
        <v>0.55443327081850224</v>
      </c>
      <c r="F6" s="6"/>
      <c r="G6" s="6"/>
      <c r="H6" s="3" t="s">
        <v>282</v>
      </c>
      <c r="I6" s="68">
        <f>C26/I26</f>
        <v>9.2422738930497008</v>
      </c>
      <c r="J6" s="6"/>
      <c r="K6" s="72"/>
    </row>
    <row r="7" spans="1:11" ht="15" customHeight="1" thickBot="1">
      <c r="B7" s="52" t="s">
        <v>375</v>
      </c>
      <c r="D7" s="60">
        <f>MAX((D6*Exchange_Rate*Data!C4)/Common_Shares, 0)</f>
        <v>12.975120339817066</v>
      </c>
      <c r="E7" s="48" t="str">
        <f>Dashboard!J4</f>
        <v>HKD</v>
      </c>
      <c r="H7" s="3" t="s">
        <v>283</v>
      </c>
      <c r="I7" s="68">
        <f>C25/I26</f>
        <v>9.0486159523642016</v>
      </c>
      <c r="J7" s="6"/>
      <c r="K7" s="112"/>
    </row>
    <row r="8" spans="1:11" ht="15" customHeight="1">
      <c r="D8" s="6"/>
      <c r="H8" s="3" t="s">
        <v>284</v>
      </c>
      <c r="I8" s="68">
        <f>C24/I26</f>
        <v>8.7052471011109471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335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5385923</v>
      </c>
      <c r="D11" s="64">
        <v>1</v>
      </c>
      <c r="E11" s="26">
        <f t="shared" ref="E11:E21" si="0">C11*D11</f>
        <v>5385923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0</v>
      </c>
      <c r="D12" s="64">
        <v>0.98</v>
      </c>
      <c r="E12" s="26">
        <f t="shared" si="0"/>
        <v>0</v>
      </c>
      <c r="F12" s="6"/>
      <c r="G12" s="6"/>
      <c r="H12" s="5" t="s">
        <v>90</v>
      </c>
      <c r="I12" s="63">
        <v>42005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58443</v>
      </c>
      <c r="D14" s="64">
        <v>0.6</v>
      </c>
      <c r="E14" s="26">
        <f t="shared" si="0"/>
        <v>35065.799999999996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0.7</v>
      </c>
      <c r="E15" s="26">
        <f t="shared" si="0"/>
        <v>0</v>
      </c>
      <c r="G15" s="6"/>
      <c r="H15" s="5" t="s">
        <v>96</v>
      </c>
      <c r="I15" s="148">
        <f>I26-SUM(I11:I14)</f>
        <v>583407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214747</v>
      </c>
      <c r="D17" s="64">
        <v>0.6</v>
      </c>
      <c r="E17" s="26">
        <f t="shared" si="0"/>
        <v>128848.2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119655</v>
      </c>
      <c r="D18" s="64">
        <v>0.6</v>
      </c>
      <c r="E18" s="26">
        <f t="shared" si="0"/>
        <v>71793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1461</v>
      </c>
      <c r="D21" s="64">
        <v>0.95</v>
      </c>
      <c r="E21" s="26">
        <f t="shared" si="0"/>
        <v>1387.95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5444366</v>
      </c>
      <c r="D24" s="67">
        <f>IF(E24=0,0,E24/C24)</f>
        <v>0.99570616670517742</v>
      </c>
      <c r="E24" s="26">
        <f>SUM(E11:E14)</f>
        <v>5420988.7999999998</v>
      </c>
      <c r="F24" s="6"/>
      <c r="G24" s="6"/>
      <c r="H24" s="65" t="s">
        <v>285</v>
      </c>
      <c r="I24" s="68">
        <f>E24/($I$26-I15)</f>
        <v>129.05579811927151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5659113</v>
      </c>
      <c r="D25" s="67">
        <f>IF(E25=0,0,E25/C25)</f>
        <v>0.98069026011673566</v>
      </c>
      <c r="E25" s="26">
        <f>E24+SUM(E15:E17)</f>
        <v>5549837</v>
      </c>
      <c r="F25" s="6"/>
      <c r="G25" s="6"/>
      <c r="H25" s="65" t="s">
        <v>289</v>
      </c>
      <c r="I25" s="68">
        <f>E25/$I$26</f>
        <v>8.8738895320204918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5780229</v>
      </c>
      <c r="D26" s="14">
        <f t="shared" ref="D26" si="2">E26/C26</f>
        <v>0.97280193397182013</v>
      </c>
      <c r="E26" s="26">
        <f>SUM(E11:E22)</f>
        <v>5623017.9500000002</v>
      </c>
      <c r="H26" s="5" t="s">
        <v>56</v>
      </c>
      <c r="I26" s="63">
        <v>625412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28140</v>
      </c>
      <c r="D29" s="64">
        <v>0.6</v>
      </c>
      <c r="E29" s="26">
        <f t="shared" ref="E29:E40" si="3">C29*D29</f>
        <v>16884</v>
      </c>
      <c r="F29" s="6"/>
      <c r="G29" s="6"/>
      <c r="H29" s="5" t="s">
        <v>109</v>
      </c>
      <c r="I29" s="63">
        <v>57055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441451</v>
      </c>
      <c r="J32" s="6"/>
    </row>
    <row r="33" spans="2:10" ht="14">
      <c r="B33" s="5" t="s">
        <v>115</v>
      </c>
      <c r="C33" s="63">
        <v>1074</v>
      </c>
      <c r="D33" s="64">
        <v>0.6</v>
      </c>
      <c r="E33" s="208">
        <f t="shared" si="3"/>
        <v>644.4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15159392</v>
      </c>
      <c r="D34" s="64">
        <v>0.3</v>
      </c>
      <c r="E34" s="208">
        <f t="shared" si="3"/>
        <v>4547817.5999999996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243053</v>
      </c>
      <c r="D36" s="64">
        <v>0.1</v>
      </c>
      <c r="E36" s="26">
        <f t="shared" si="3"/>
        <v>24305.300000000003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33122</v>
      </c>
      <c r="D39" s="64">
        <v>0.95</v>
      </c>
      <c r="E39" s="26">
        <f t="shared" si="3"/>
        <v>31465.899999999998</v>
      </c>
      <c r="F39" s="6"/>
      <c r="G39" s="6"/>
    </row>
    <row r="40" spans="2:10" ht="15" customHeight="1">
      <c r="B40" s="5" t="s">
        <v>119</v>
      </c>
      <c r="C40" s="63">
        <v>0</v>
      </c>
      <c r="D40" s="64">
        <v>0.1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15464781</v>
      </c>
      <c r="D42" s="14">
        <f>E42/C42</f>
        <v>0.29881556033674195</v>
      </c>
      <c r="E42" s="26">
        <f>SUM(E28:E40)</f>
        <v>4621117.2</v>
      </c>
      <c r="F42" s="6"/>
      <c r="G42" s="6"/>
      <c r="H42" s="5" t="s">
        <v>121</v>
      </c>
      <c r="I42" s="63">
        <v>498506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5472506</v>
      </c>
      <c r="D44" s="67">
        <f>IF(E44=0,0,E44/C44)</f>
        <v>0.99367141854207197</v>
      </c>
      <c r="E44" s="26">
        <f>E24+SUM(E28:E29)</f>
        <v>5437872.7999999998</v>
      </c>
      <c r="F44" s="6"/>
      <c r="G44" s="6"/>
      <c r="H44" s="65" t="s">
        <v>286</v>
      </c>
      <c r="I44" s="68">
        <f>E44/(I46-I15-I32)</f>
        <v>54.894738542297596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5688327</v>
      </c>
      <c r="D45" s="67">
        <f>IF(E45=0,0,E45/C45)</f>
        <v>0.97873511842761507</v>
      </c>
      <c r="E45" s="26">
        <f>E44+(E25-E24)+SUM(E30:E33)</f>
        <v>5567365.4000000004</v>
      </c>
      <c r="F45" s="6"/>
      <c r="G45" s="6"/>
      <c r="H45" s="65" t="s">
        <v>290</v>
      </c>
      <c r="I45" s="68">
        <f>E45/$I$46</f>
        <v>4.9535334428312385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21245010</v>
      </c>
      <c r="D46" s="14">
        <f>E46/C46</f>
        <v>0.48219017783470097</v>
      </c>
      <c r="E46" s="26">
        <f>E26+E42</f>
        <v>10244135.15</v>
      </c>
      <c r="F46" s="6"/>
      <c r="G46" s="6"/>
      <c r="H46" s="5" t="s">
        <v>287</v>
      </c>
      <c r="I46" s="148">
        <f>I26+I42</f>
        <v>1123918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154928</v>
      </c>
      <c r="D50" s="202">
        <f>IF(E50=0, 0,E50/C50)</f>
        <v>1</v>
      </c>
      <c r="E50" s="206">
        <f>MAX(C50,C50*Dashboard!I10)</f>
        <v>154928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8">
        <f>D53+D54+D55</f>
        <v>99060</v>
      </c>
      <c r="E52" s="479"/>
      <c r="F52" s="52"/>
      <c r="G52" s="52"/>
    </row>
    <row r="53" spans="2:9" ht="14.5" thickTop="1">
      <c r="B53" s="57" t="s">
        <v>218</v>
      </c>
      <c r="C53" s="6"/>
      <c r="D53" s="481">
        <f>SUM(I11:I13)+SUM(I28:I30)</f>
        <v>99060</v>
      </c>
      <c r="E53" s="476"/>
      <c r="F53" s="5"/>
      <c r="G53" s="5"/>
      <c r="H53" s="3" t="s">
        <v>288</v>
      </c>
      <c r="I53" s="14">
        <f>D53/I3</f>
        <v>4.9613936858377006E-3</v>
      </c>
    </row>
    <row r="54" spans="2:9" ht="14">
      <c r="B54" s="57" t="s">
        <v>127</v>
      </c>
      <c r="C54" s="6"/>
      <c r="D54" s="488">
        <v>0</v>
      </c>
      <c r="E54" s="472"/>
      <c r="F54" s="6" t="s">
        <v>128</v>
      </c>
      <c r="G54" s="6"/>
    </row>
    <row r="55" spans="2:9" ht="12.75" customHeight="1">
      <c r="B55" s="57" t="s">
        <v>126</v>
      </c>
      <c r="C55" s="6"/>
      <c r="D55" s="488">
        <v>0</v>
      </c>
      <c r="E55" s="472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80"/>
      <c r="E57" s="480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87657</v>
      </c>
      <c r="D58" s="122">
        <f>IF(E58=0,0,E58/C58)</f>
        <v>0.6</v>
      </c>
      <c r="E58" s="209">
        <f>E14+E15+(E19*G19)+(E20*G20)+E29+E30+(E31*G31)+(E33*G33)+(E34*G34)+(E35*G35)</f>
        <v>52594.2</v>
      </c>
      <c r="H58" s="6"/>
    </row>
    <row r="59" spans="2:9" ht="14">
      <c r="B59" s="52" t="s">
        <v>87</v>
      </c>
      <c r="C59" s="201">
        <f>C11+C12+C28</f>
        <v>5385923</v>
      </c>
      <c r="D59" s="202">
        <f>IF(E59=0,0,E59/C59)</f>
        <v>1</v>
      </c>
      <c r="E59" s="203">
        <f>E11+E12+E28</f>
        <v>5385923</v>
      </c>
      <c r="F59" s="6"/>
      <c r="G59" s="6"/>
    </row>
    <row r="60" spans="2:9" ht="14">
      <c r="B60" s="52" t="s">
        <v>131</v>
      </c>
      <c r="C60" s="6"/>
      <c r="D60" s="486">
        <f>((Dashboard!I6*Data!C4)+D52+E50-C58-C59)</f>
        <v>2505340.7999999998</v>
      </c>
      <c r="E60" s="487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4">
        <f>((C26-C11-C12-C14-C15-C16*G16-C19*G19-C20*G20)-I26)/Data!C7</f>
        <v>-0.20947945748576033</v>
      </c>
      <c r="E63" s="485"/>
    </row>
    <row r="64" spans="2:9" ht="15" customHeight="1">
      <c r="B64" s="3" t="s">
        <v>245</v>
      </c>
      <c r="D64" s="482">
        <v>7.51E-2</v>
      </c>
      <c r="E64" s="483"/>
      <c r="F64" s="242" t="s">
        <v>231</v>
      </c>
    </row>
    <row r="65" spans="2:5" ht="15" customHeight="1">
      <c r="B65" s="263" t="s">
        <v>247</v>
      </c>
      <c r="D65" s="482">
        <v>7.51E-2</v>
      </c>
      <c r="E65" s="48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>
        <f>IF(G10="","",EOMONTH(EDATE(E3,12),0))</f>
        <v>45657</v>
      </c>
      <c r="H3" s="27"/>
      <c r="I3" s="253" t="str">
        <f>IF(I21="","",EOMONTH(EDATE(G3,12),0))</f>
        <v/>
      </c>
      <c r="J3" s="268"/>
      <c r="L3" s="70" t="s">
        <v>132</v>
      </c>
    </row>
    <row r="4" spans="1:13" ht="15.75" customHeight="1">
      <c r="B4" s="264" t="s">
        <v>336</v>
      </c>
      <c r="C4" s="265">
        <v>800033</v>
      </c>
      <c r="D4" s="236">
        <f>C4/C9</f>
        <v>0.57879833399771818</v>
      </c>
      <c r="E4" s="265">
        <f>C4*1.02</f>
        <v>816033.66</v>
      </c>
      <c r="F4" s="236">
        <f>E4/E9</f>
        <v>0.5285788940702022</v>
      </c>
      <c r="G4" s="390">
        <f>E4*1.02</f>
        <v>832354.33319999999</v>
      </c>
      <c r="H4" s="236"/>
      <c r="I4" s="390"/>
      <c r="J4" s="258"/>
      <c r="K4" s="6"/>
      <c r="L4" s="72"/>
      <c r="M4" s="56"/>
    </row>
    <row r="5" spans="1:13" ht="15.75" customHeight="1">
      <c r="B5" s="264" t="s">
        <v>337</v>
      </c>
      <c r="C5" s="265">
        <v>318356</v>
      </c>
      <c r="D5" s="236">
        <f>C5/C9</f>
        <v>0.23032040230612683</v>
      </c>
      <c r="E5" s="265">
        <f>C5*1.3</f>
        <v>413862.8</v>
      </c>
      <c r="F5" s="236">
        <f>E5/E9</f>
        <v>0.26807612460593511</v>
      </c>
      <c r="G5" s="390">
        <f>E5*1.2</f>
        <v>496635.36</v>
      </c>
      <c r="H5" s="236"/>
      <c r="I5" s="390"/>
      <c r="J5" s="258"/>
      <c r="K5" s="6"/>
      <c r="L5" s="72"/>
      <c r="M5" s="56"/>
    </row>
    <row r="6" spans="1:13" ht="15.75" customHeight="1">
      <c r="B6" s="264" t="s">
        <v>338</v>
      </c>
      <c r="C6" s="265">
        <v>173280</v>
      </c>
      <c r="D6" s="236">
        <f>C6/C9</f>
        <v>0.12536254793880328</v>
      </c>
      <c r="E6" s="265">
        <f>C6*1.08</f>
        <v>187142.40000000002</v>
      </c>
      <c r="F6" s="236">
        <f>E6/E9</f>
        <v>0.12121990510249715</v>
      </c>
      <c r="G6" s="390">
        <f>E6*1.03</f>
        <v>192756.67200000002</v>
      </c>
      <c r="H6" s="236"/>
      <c r="I6" s="390"/>
      <c r="J6" s="258"/>
      <c r="K6" s="6"/>
      <c r="L6" s="72"/>
      <c r="M6" s="56"/>
    </row>
    <row r="7" spans="1:13" ht="15.75" customHeight="1">
      <c r="B7" s="264" t="s">
        <v>339</v>
      </c>
      <c r="C7" s="265">
        <v>90562</v>
      </c>
      <c r="D7" s="236">
        <f>C7/C9</f>
        <v>6.55187157573517E-2</v>
      </c>
      <c r="E7" s="265">
        <f>C7*1.4</f>
        <v>126786.79999999999</v>
      </c>
      <c r="F7" s="236">
        <f>E7/E9</f>
        <v>8.2125076221365556E-2</v>
      </c>
      <c r="G7" s="390">
        <f>E7*1.3</f>
        <v>164822.84</v>
      </c>
      <c r="H7" s="236"/>
      <c r="I7" s="390"/>
      <c r="J7" s="258"/>
      <c r="K7" s="6"/>
      <c r="L7" s="72"/>
      <c r="M7" s="56"/>
    </row>
    <row r="8" spans="1:13" ht="15.75" customHeight="1">
      <c r="B8" s="264" t="s">
        <v>340</v>
      </c>
      <c r="C8" s="265">
        <v>0</v>
      </c>
      <c r="D8" s="236">
        <f>C8/C9</f>
        <v>0</v>
      </c>
      <c r="E8" s="265">
        <v>0</v>
      </c>
      <c r="F8" s="236"/>
      <c r="G8" s="390">
        <v>0</v>
      </c>
      <c r="H8" s="236"/>
      <c r="I8" s="390"/>
      <c r="J8" s="258"/>
      <c r="K8" s="6"/>
      <c r="L8" s="72"/>
      <c r="M8" s="56"/>
    </row>
    <row r="9" spans="1:13" ht="15.75" customHeight="1">
      <c r="B9" s="5" t="s">
        <v>134</v>
      </c>
      <c r="C9" s="173">
        <f>SUM(C4:C7)</f>
        <v>1382231</v>
      </c>
      <c r="D9" s="235"/>
      <c r="E9" s="305">
        <f>SUM(E4:E7)</f>
        <v>1543825.66</v>
      </c>
      <c r="F9" s="235"/>
      <c r="G9" s="305">
        <f>SUM(G4:G8)</f>
        <v>1686569.2052000002</v>
      </c>
      <c r="H9" s="235"/>
      <c r="I9" s="215"/>
      <c r="J9" s="259"/>
      <c r="K9" s="6"/>
      <c r="L9" s="72"/>
      <c r="M9" s="56"/>
    </row>
    <row r="10" spans="1:13" ht="15.75" customHeight="1">
      <c r="B10" s="17" t="s">
        <v>133</v>
      </c>
      <c r="C10" s="237">
        <f>Data!C8</f>
        <v>0.10842284637437105</v>
      </c>
      <c r="D10" s="237"/>
      <c r="E10" s="18">
        <f>E9/C9-1</f>
        <v>0.1169085775098373</v>
      </c>
      <c r="F10" s="237"/>
      <c r="G10" s="18">
        <f>G9/E9-1</f>
        <v>9.2460922822075853E-2</v>
      </c>
      <c r="H10" s="237"/>
      <c r="I10" s="71"/>
      <c r="J10" s="295"/>
      <c r="K10" s="6"/>
      <c r="L10" s="72"/>
      <c r="M10" s="56"/>
    </row>
    <row r="11" spans="1:13" ht="15.75" customHeight="1">
      <c r="B11" s="264" t="s">
        <v>341</v>
      </c>
      <c r="C11" s="265">
        <v>102689</v>
      </c>
      <c r="D11" s="359"/>
      <c r="E11" s="265"/>
      <c r="F11" s="359"/>
      <c r="G11" s="265"/>
      <c r="H11" s="359"/>
      <c r="I11" s="271"/>
      <c r="J11" s="360"/>
      <c r="K11" s="6"/>
      <c r="L11" s="72"/>
      <c r="M11" s="56"/>
    </row>
    <row r="12" spans="1:13" ht="15.75" customHeight="1">
      <c r="B12" s="264" t="s">
        <v>342</v>
      </c>
      <c r="C12" s="265">
        <v>411606</v>
      </c>
      <c r="D12" s="359"/>
      <c r="E12" s="265"/>
      <c r="F12" s="359"/>
      <c r="G12" s="265"/>
      <c r="H12" s="359"/>
      <c r="I12" s="271"/>
      <c r="J12" s="360"/>
      <c r="K12" s="6"/>
      <c r="L12" s="72"/>
      <c r="M12" s="56"/>
    </row>
    <row r="13" spans="1:13" ht="15.75" customHeight="1">
      <c r="B13" s="264" t="s">
        <v>343</v>
      </c>
      <c r="C13" s="265">
        <v>111319</v>
      </c>
      <c r="D13" s="359"/>
      <c r="E13" s="265"/>
      <c r="F13" s="359"/>
      <c r="G13" s="265"/>
      <c r="H13" s="359"/>
      <c r="I13" s="271"/>
      <c r="J13" s="360"/>
      <c r="K13" s="6"/>
      <c r="L13" s="72"/>
      <c r="M13" s="56"/>
    </row>
    <row r="14" spans="1:13" ht="15.75" customHeight="1">
      <c r="B14" s="264" t="s">
        <v>344</v>
      </c>
      <c r="C14" s="265">
        <v>77419</v>
      </c>
      <c r="D14" s="359"/>
      <c r="E14" s="265"/>
      <c r="F14" s="359"/>
      <c r="G14" s="265"/>
      <c r="H14" s="359"/>
      <c r="I14" s="271"/>
      <c r="J14" s="360"/>
      <c r="K14" s="6"/>
      <c r="L14" s="72"/>
      <c r="M14" s="56"/>
    </row>
    <row r="15" spans="1:13" ht="15.75" customHeight="1">
      <c r="B15" s="8" t="s">
        <v>135</v>
      </c>
      <c r="C15" s="174">
        <f>Data!C9</f>
        <v>703033</v>
      </c>
      <c r="D15" s="238"/>
      <c r="E15" s="214">
        <f>E9*(1-E16)</f>
        <v>795070.21490000002</v>
      </c>
      <c r="F15" s="238"/>
      <c r="G15" s="256">
        <f>IF(G9="","",G9*(1-G16))</f>
        <v>885448.83273000014</v>
      </c>
      <c r="H15" s="238"/>
      <c r="I15" s="256" t="str">
        <f>IF(I9="","",I9*(1-I16))</f>
        <v/>
      </c>
      <c r="J15" s="296"/>
      <c r="K15" s="6"/>
      <c r="L15" s="112"/>
      <c r="M15" s="1"/>
    </row>
    <row r="16" spans="1:13" ht="15.75" customHeight="1">
      <c r="B16" s="17" t="s">
        <v>46</v>
      </c>
      <c r="C16" s="179">
        <f>(C9-C15)/C9</f>
        <v>0.4913780692228723</v>
      </c>
      <c r="D16" s="179"/>
      <c r="E16" s="71">
        <v>0.48499999999999999</v>
      </c>
      <c r="F16" s="179"/>
      <c r="G16" s="71">
        <v>0.47499999999999998</v>
      </c>
      <c r="H16" s="179"/>
      <c r="I16" s="71"/>
      <c r="J16" s="297"/>
      <c r="K16" s="6"/>
      <c r="L16" s="72"/>
    </row>
    <row r="17" spans="2:13" ht="15.75" customHeight="1">
      <c r="B17" s="5" t="s">
        <v>136</v>
      </c>
      <c r="C17" s="26">
        <f>C9-C15</f>
        <v>679198</v>
      </c>
      <c r="D17" s="26"/>
      <c r="E17" s="26">
        <f>E9-E15</f>
        <v>748755.4450999999</v>
      </c>
      <c r="F17" s="26"/>
      <c r="G17" s="26">
        <f>IF(G10="","",G9-G15)</f>
        <v>801120.37247000006</v>
      </c>
      <c r="H17" s="26"/>
      <c r="I17" s="26" t="str">
        <f>IF(I10="","",I9-I15)</f>
        <v/>
      </c>
      <c r="J17" s="222"/>
      <c r="K17" s="6"/>
      <c r="L17" s="72"/>
    </row>
    <row r="18" spans="2:13" ht="15.75" customHeight="1">
      <c r="B18" s="17" t="s">
        <v>48</v>
      </c>
      <c r="C18" s="180">
        <f>C19/C9</f>
        <v>0.12301634097339735</v>
      </c>
      <c r="D18" s="180"/>
      <c r="E18" s="213">
        <f>C18</f>
        <v>0.12301634097339735</v>
      </c>
      <c r="F18" s="180"/>
      <c r="G18" s="64">
        <f>E18</f>
        <v>0.12301634097339735</v>
      </c>
      <c r="H18" s="180"/>
      <c r="I18" s="64"/>
      <c r="J18" s="298"/>
      <c r="K18" s="6"/>
      <c r="L18" s="72"/>
    </row>
    <row r="19" spans="2:13" ht="15.75" customHeight="1">
      <c r="B19" s="8" t="s">
        <v>137</v>
      </c>
      <c r="C19" s="176">
        <v>170037</v>
      </c>
      <c r="D19" s="239"/>
      <c r="E19" s="74">
        <f>E9*E18</f>
        <v>189915.78379404021</v>
      </c>
      <c r="F19" s="239"/>
      <c r="G19" s="74">
        <f>G9*G18</f>
        <v>207475.57242211499</v>
      </c>
      <c r="H19" s="239"/>
      <c r="I19" s="74"/>
      <c r="J19" s="299"/>
      <c r="K19" s="6"/>
      <c r="L19" s="72"/>
    </row>
    <row r="20" spans="2:13" ht="15.75" customHeight="1">
      <c r="B20" s="17" t="s">
        <v>49</v>
      </c>
      <c r="C20" s="18">
        <f>C22/C9</f>
        <v>0.36836172824947494</v>
      </c>
      <c r="D20" s="18"/>
      <c r="E20" s="18">
        <f>E22/E9</f>
        <v>0.36198365902660262</v>
      </c>
      <c r="F20" s="18"/>
      <c r="G20" s="18">
        <f>IF(G10="","",G22/G9)</f>
        <v>0.35198365902660261</v>
      </c>
      <c r="H20" s="18"/>
      <c r="I20" s="18" t="str">
        <f>IF(I10="","",I22/I9)</f>
        <v/>
      </c>
      <c r="J20" s="216"/>
      <c r="K20" s="6"/>
      <c r="L20" s="72"/>
      <c r="M20" s="56"/>
    </row>
    <row r="21" spans="2:13" ht="15.75" customHeight="1">
      <c r="B21" s="17" t="s">
        <v>138</v>
      </c>
      <c r="C21" s="240">
        <f>Data!C15</f>
        <v>-2.4542947479898259E-2</v>
      </c>
      <c r="D21" s="240"/>
      <c r="E21" s="14">
        <f>IF(ABS(C22+E22)=ABS(C22)+ABS(E22),IF(E22&lt;0,-1,1)*(E22-C22)/C22,"Turn")</f>
        <v>9.7569651457907594E-2</v>
      </c>
      <c r="F21" s="240"/>
      <c r="G21" s="14">
        <f>IF(G10="","",IF(ABS(E22+G22)=ABS(E22)+ABS(G22),IF(G22&lt;0,-1,1)*(G22-E22)/E22,"Turn"))</f>
        <v>6.2281081948601817E-2</v>
      </c>
      <c r="H21" s="240"/>
      <c r="I21" s="14" t="str">
        <f>IF(I10="","",IF(ABS(G22+I22)=ABS(G22)+ABS(I22),IF(I22&lt;0,-1,1)*(I22-G22)/G22,"Turn"))</f>
        <v/>
      </c>
      <c r="J21" s="300"/>
      <c r="K21" s="6"/>
      <c r="L21" s="75"/>
      <c r="M21" s="76"/>
    </row>
    <row r="22" spans="2:13" ht="15.75" customHeight="1">
      <c r="B22" s="127" t="s">
        <v>228</v>
      </c>
      <c r="C22" s="287">
        <f>C17-C19</f>
        <v>509161</v>
      </c>
      <c r="D22" s="288"/>
      <c r="E22" s="287">
        <f>E17-E19</f>
        <v>558839.66130595969</v>
      </c>
      <c r="F22" s="288"/>
      <c r="G22" s="287">
        <f>IF(G10="","",G17-G19)</f>
        <v>593644.80004788504</v>
      </c>
      <c r="H22" s="288"/>
      <c r="I22" s="287" t="str">
        <f>IF(I10="","",I17-I19)</f>
        <v/>
      </c>
      <c r="J22" s="301"/>
      <c r="K22" s="6"/>
      <c r="L22" s="77"/>
      <c r="M22" s="55"/>
    </row>
    <row r="23" spans="2:13" ht="15.75" customHeight="1">
      <c r="B23" s="283" t="s">
        <v>139</v>
      </c>
      <c r="C23" s="284">
        <v>0.16500000000000001</v>
      </c>
      <c r="D23" s="285"/>
      <c r="E23" s="286">
        <f>IF(E22="","",C23)</f>
        <v>0.16500000000000001</v>
      </c>
      <c r="F23" s="286"/>
      <c r="G23" s="286">
        <f>IF(G22="","",E23)</f>
        <v>0.16500000000000001</v>
      </c>
      <c r="H23" s="286"/>
      <c r="I23" s="286" t="str">
        <f>IF(I22="","",G23)</f>
        <v/>
      </c>
      <c r="J23" s="302"/>
      <c r="L23" s="72" t="s">
        <v>345</v>
      </c>
    </row>
    <row r="24" spans="2:13" ht="15.75" customHeight="1">
      <c r="B24" s="292" t="s">
        <v>278</v>
      </c>
      <c r="C24" s="240">
        <f>C25/C15</f>
        <v>0.60473610058133831</v>
      </c>
      <c r="D24" s="294"/>
      <c r="E24" s="293">
        <f>E25/E15</f>
        <v>0.5869055442470158</v>
      </c>
      <c r="F24" s="293"/>
      <c r="G24" s="293">
        <f>IF(G15="","",G25/G15)</f>
        <v>0.55982162911850131</v>
      </c>
      <c r="H24" s="293"/>
      <c r="I24" s="293" t="str">
        <f>IF(I15="","",I25/I15)</f>
        <v/>
      </c>
      <c r="J24" s="303"/>
    </row>
    <row r="25" spans="2:13" ht="15.75" customHeight="1">
      <c r="B25" s="289" t="s">
        <v>78</v>
      </c>
      <c r="C25" s="290">
        <f>IF(C22&lt;=0,C22,C22*(1-C23))</f>
        <v>425149.435</v>
      </c>
      <c r="D25" s="290"/>
      <c r="E25" s="291">
        <f>IF(E22="","",IF(E22&lt;=0,E22,E22*(1-E23)))</f>
        <v>466631.11719047633</v>
      </c>
      <c r="F25" s="290"/>
      <c r="G25" s="291">
        <f>IF(G22="","",IF(G22&lt;=0,G22,G22*(1-G23)))</f>
        <v>495693.408039984</v>
      </c>
      <c r="H25" s="290"/>
      <c r="I25" s="291" t="str">
        <f>IF(I22="","",IF(I22&lt;=0,I22,I22*(1-I23)))</f>
        <v/>
      </c>
      <c r="J25" s="304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H19 G20:H22">
    <cfRule type="containsBlanks" dxfId="5" priority="10">
      <formula>LEN(TRIM(G15))=0</formula>
    </cfRule>
  </conditionalFormatting>
  <conditionalFormatting sqref="H10:H14 G15:H18 H19 G20:H22">
    <cfRule type="containsBlanks" priority="11">
      <formula>LEN(TRIM(G10))=0</formula>
    </cfRule>
  </conditionalFormatting>
  <conditionalFormatting sqref="H10:J14 G15:J25">
    <cfRule type="containsBlanks" dxfId="4" priority="1">
      <formula>LEN(TRIM(G10))=0</formula>
    </cfRule>
  </conditionalFormatting>
  <conditionalFormatting sqref="I10:J22">
    <cfRule type="containsBlanks" dxfId="3" priority="6">
      <formula>LEN(TRIM(I10))=0</formula>
    </cfRule>
    <cfRule type="containsBlanks" priority="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6" zoomScaleNormal="100" zoomScalePageLayoutView="80" workbookViewId="0">
      <selection activeCell="C49" sqref="C4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348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44926</v>
      </c>
      <c r="D3" s="253">
        <f>Operation!E3</f>
        <v>45291</v>
      </c>
      <c r="E3" s="253">
        <f>Operation!G3</f>
        <v>45657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Operation!C25</f>
        <v>425149.435</v>
      </c>
      <c r="D4" s="44">
        <f>Operation!E25</f>
        <v>466631.11719047633</v>
      </c>
      <c r="E4" s="44">
        <f>Operation!G25</f>
        <v>495693.408039984</v>
      </c>
      <c r="F4" s="192" t="str">
        <f>Operation!I25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9.7569651457907636E-2</v>
      </c>
      <c r="E5" s="234">
        <f>IF(E4="","",E4/D4-1)</f>
        <v>6.2281081948601713E-2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>
        <f>D6</f>
        <v>0.3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127544.8305</v>
      </c>
      <c r="D7" s="278">
        <f>D4*D6</f>
        <v>139989.33515714289</v>
      </c>
      <c r="E7" s="279">
        <f>E4*E6</f>
        <v>148708.02241199519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297604.60450000002</v>
      </c>
      <c r="D8" s="182">
        <f>D4-D7</f>
        <v>326641.78203333344</v>
      </c>
      <c r="E8" s="182">
        <f>IF(E4="","",E4-E7)</f>
        <v>346985.38562798884</v>
      </c>
      <c r="F8" s="182" t="str">
        <f>IF(F4="","",F4-F7)</f>
        <v/>
      </c>
      <c r="G8" s="364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0.43071176985643167</v>
      </c>
      <c r="D9" s="275">
        <f>D8/(Common_Shares/Data!$C$4)</f>
        <v>0.47273616712014216</v>
      </c>
      <c r="E9" s="275">
        <f>IF(E8="","",E8/(Common_Shares/Data!$C$4))</f>
        <v>0.50217868708461977</v>
      </c>
      <c r="F9" s="275" t="str">
        <f>IF(F8="","",F8/(Common_Shares/Data!$C$4))</f>
        <v/>
      </c>
      <c r="G9" s="383">
        <f>IF(F4="",IF(E4="",D8,E8),F8)*Data!C$4/Dashboard!I5</f>
        <v>0.50217868708461966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81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4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354</v>
      </c>
      <c r="C12" s="328"/>
      <c r="D12" s="186">
        <f ca="1">IF(D9="","",D9/D11)</f>
        <v>0.4459775161510775</v>
      </c>
      <c r="E12" s="187">
        <f ca="1">IF(E9="","",E9/E11)</f>
        <v>0.44693724375633653</v>
      </c>
      <c r="F12" s="187" t="str">
        <f>IF(F9="","",F9/F11)</f>
        <v/>
      </c>
      <c r="G12" s="385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5385923</v>
      </c>
      <c r="D15" s="207">
        <f>C15/(Dashboard!I5/Data!C4)</f>
        <v>7.7948405117517661</v>
      </c>
      <c r="E15" s="83" t="s">
        <v>220</v>
      </c>
      <c r="G15" s="130">
        <f>C15+C16+C17+C18</f>
        <v>5184529.2</v>
      </c>
    </row>
    <row r="16" spans="1:10" ht="15.75" customHeight="1">
      <c r="B16" s="57" t="s">
        <v>226</v>
      </c>
      <c r="C16" s="82">
        <f>Asset_Model!E58</f>
        <v>52594.2</v>
      </c>
      <c r="D16" s="207">
        <f>C16/(Dashboard!I5/Data!C4)</f>
        <v>7.6117575547064956E-2</v>
      </c>
      <c r="E16" s="83" t="s">
        <v>303</v>
      </c>
      <c r="G16" s="188">
        <f>(G15+MIN(D4,0))*Data!C$4/Dashboard!I5</f>
        <v>7.5033709621396314</v>
      </c>
    </row>
    <row r="17" spans="1:9" ht="15.75" customHeight="1">
      <c r="B17" s="57" t="s">
        <v>212</v>
      </c>
      <c r="C17" s="82">
        <f>-Asset_Model!D52</f>
        <v>-99060</v>
      </c>
      <c r="D17" s="207">
        <f>C17/(Dashboard!I5/Data!C4)</f>
        <v>-0.14336575199722126</v>
      </c>
      <c r="E17" s="491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-154928</v>
      </c>
      <c r="D18" s="207">
        <f>C18/(Dashboard!I5/Data!C4)</f>
        <v>-0.22422137316197754</v>
      </c>
      <c r="E18" s="491"/>
      <c r="F18" s="141">
        <f>D15+(MIN(D4,0)*Data!C$4/Dashboard!I5)</f>
        <v>7.7948405117517661</v>
      </c>
      <c r="G18" s="140">
        <f>SUM(D16:D18)</f>
        <v>-0.29146954961213384</v>
      </c>
    </row>
    <row r="19" spans="1:9" ht="15.75" customHeight="1">
      <c r="F19" s="6"/>
      <c r="G19" s="6"/>
    </row>
    <row r="20" spans="1:9" ht="15.75" customHeight="1">
      <c r="B20" s="25" t="s">
        <v>360</v>
      </c>
      <c r="C20" s="185" t="str">
        <f>B3</f>
        <v>(Numbers in 1000HKD)</v>
      </c>
      <c r="E20" s="492" t="s">
        <v>216</v>
      </c>
      <c r="F20" s="492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2.5298334552245456</v>
      </c>
      <c r="F22" s="332">
        <f ca="1">E22+$G$16</f>
        <v>10.033204417364177</v>
      </c>
      <c r="G22" s="335">
        <f ca="1">ROUND(F22*Exchange_Rate,2)</f>
        <v>10.029999999999999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3.3731112736327273</v>
      </c>
      <c r="F23" s="333">
        <f ca="1">E23+$G$16</f>
        <v>10.876482235772359</v>
      </c>
      <c r="G23" s="336">
        <f ca="1">ROUND(F23*Exchange_Rate,2)</f>
        <v>10.88</v>
      </c>
      <c r="I23" s="72"/>
    </row>
    <row r="24" spans="1:9" ht="15.5" customHeight="1" thickTop="1">
      <c r="C24" s="6"/>
      <c r="D24" s="6"/>
      <c r="E24" s="493" t="s">
        <v>359</v>
      </c>
      <c r="F24" s="494"/>
      <c r="G24" s="365">
        <f ca="1">MIN(G22,G23)+ABS(G22-G23)*'Qualitative Analysis'!$E$64</f>
        <v>10.421397534013606</v>
      </c>
    </row>
    <row r="25" spans="1:9" ht="15.75" customHeight="1"/>
    <row r="26" spans="1:9" ht="15.75" customHeight="1">
      <c r="A26" s="4"/>
      <c r="B26" s="88" t="s">
        <v>349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44926</v>
      </c>
      <c r="D27" s="253">
        <f>D3</f>
        <v>45291</v>
      </c>
      <c r="E27" s="253">
        <f>E3</f>
        <v>45657</v>
      </c>
      <c r="F27" s="253" t="str">
        <f>F3</f>
        <v/>
      </c>
      <c r="G27" s="27" t="str">
        <f>G3</f>
        <v>Terminal Value</v>
      </c>
      <c r="I27" s="72" t="s">
        <v>376</v>
      </c>
    </row>
    <row r="28" spans="1:9" ht="15.75" customHeight="1">
      <c r="B28" s="5" t="s">
        <v>140</v>
      </c>
      <c r="C28" s="26">
        <f>C4</f>
        <v>425149.435</v>
      </c>
      <c r="D28" s="26">
        <f>D4</f>
        <v>466631.11719047633</v>
      </c>
      <c r="E28" s="26">
        <f>E4</f>
        <v>495693.408039984</v>
      </c>
      <c r="F28" s="361" t="str">
        <f>F4</f>
        <v/>
      </c>
      <c r="G28" s="386">
        <f>E28*1.02</f>
        <v>505607.27620078367</v>
      </c>
      <c r="I28" s="72" t="s">
        <v>373</v>
      </c>
    </row>
    <row r="29" spans="1:9" ht="15.75" customHeight="1">
      <c r="B29" s="362" t="s">
        <v>350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364</v>
      </c>
    </row>
    <row r="30" spans="1:9" ht="15.75" customHeight="1">
      <c r="B30" s="362" t="s">
        <v>362</v>
      </c>
      <c r="C30" s="387">
        <f>C17</f>
        <v>-99060</v>
      </c>
      <c r="D30" s="369">
        <v>107000</v>
      </c>
      <c r="E30" s="368">
        <f>D30*1.05</f>
        <v>112350</v>
      </c>
      <c r="F30" s="368"/>
      <c r="G30" s="368">
        <f>IF(F30&lt;&gt;"",F30,IF(E30&lt;&gt;"",E30,D30))*1.4</f>
        <v>157290</v>
      </c>
      <c r="I30" s="72" t="s">
        <v>363</v>
      </c>
    </row>
    <row r="31" spans="1:9" ht="15.75" customHeight="1">
      <c r="B31" s="362" t="s">
        <v>369</v>
      </c>
      <c r="C31" s="388">
        <f>Operation!C23</f>
        <v>0.16500000000000001</v>
      </c>
      <c r="D31" s="388">
        <f>Operation!E23</f>
        <v>0.16500000000000001</v>
      </c>
      <c r="E31" s="388">
        <f>Operation!G23</f>
        <v>0.16500000000000001</v>
      </c>
      <c r="F31" s="388" t="str">
        <f>Operation!I23</f>
        <v/>
      </c>
      <c r="G31" s="388">
        <f>IF(F31&lt;&gt;"",F31,IF(E31&lt;&gt;"",E31,D31))</f>
        <v>0.16500000000000001</v>
      </c>
      <c r="I31" s="72"/>
    </row>
    <row r="32" spans="1:9" ht="15.75" customHeight="1" thickBot="1">
      <c r="B32" s="363" t="s">
        <v>368</v>
      </c>
      <c r="C32" s="366">
        <f>C30*(C29*(1-Operation!C23))</f>
        <v>-5881.8294034499995</v>
      </c>
      <c r="D32" s="366">
        <f>(D30*D29)*(1-D31)</f>
        <v>7147.5999999999995</v>
      </c>
      <c r="E32" s="367">
        <f>IF(E28="","",(E30*E29)*(1-E31))</f>
        <v>7504.98</v>
      </c>
      <c r="F32" s="367" t="str">
        <f>IF(F28="","",(F30*F29)*(1-F31))</f>
        <v/>
      </c>
      <c r="G32" s="366">
        <f>(G30*G29)*(1-Operation!E23)</f>
        <v>7880.2289999999994</v>
      </c>
      <c r="I32" s="72"/>
    </row>
    <row r="33" spans="1:9" ht="15.75" customHeight="1" thickTop="1">
      <c r="B33" s="362" t="s">
        <v>351</v>
      </c>
      <c r="C33" s="183">
        <f>C28-C32</f>
        <v>431031.26440345001</v>
      </c>
      <c r="D33" s="182">
        <f>D28-D32</f>
        <v>459483.51719047636</v>
      </c>
      <c r="E33" s="182">
        <f>IF(E28="","",E28-E32)</f>
        <v>488188.42803998402</v>
      </c>
      <c r="F33" s="182" t="str">
        <f>IF(F28="","",F28-F32)</f>
        <v/>
      </c>
      <c r="G33" s="371">
        <f>G28-G32</f>
        <v>497727.04720078368</v>
      </c>
      <c r="I33" s="72" t="s">
        <v>356</v>
      </c>
    </row>
    <row r="34" spans="1:9" ht="15.75" customHeight="1">
      <c r="B34" s="267" t="s">
        <v>352</v>
      </c>
      <c r="C34" s="184">
        <f>C33/(Common_Shares/Data!$C$4)</f>
        <v>0.62381507526260571</v>
      </c>
      <c r="D34" s="275">
        <f>D33/(Common_Shares/Data!$C$4)</f>
        <v>0.66499293329639397</v>
      </c>
      <c r="E34" s="275">
        <f>IF(E33="","",E33/(Common_Shares/Data!$C$4))</f>
        <v>0.70653645368759987</v>
      </c>
      <c r="F34" s="275" t="str">
        <f>IF(F33="","",F33/(Common_Shares/Data!$C$4))</f>
        <v/>
      </c>
      <c r="G34" s="184">
        <f>G33/(Common_Shares/Data!$C$4)</f>
        <v>0.72034133263978184</v>
      </c>
      <c r="H34" s="6"/>
      <c r="I34" s="72"/>
    </row>
    <row r="35" spans="1:9" ht="15.75" customHeight="1">
      <c r="B35" s="362" t="s">
        <v>358</v>
      </c>
      <c r="C35" s="370">
        <f>Dashboard!C31</f>
        <v>11.9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81">
        <f ca="1">G10</f>
        <v>0.06</v>
      </c>
      <c r="I35" s="72"/>
    </row>
    <row r="36" spans="1:9" ht="15.75" customHeight="1" thickBot="1">
      <c r="B36" s="363" t="s">
        <v>357</v>
      </c>
      <c r="C36" s="375"/>
      <c r="D36" s="376">
        <f ca="1">C35*D35</f>
        <v>0.71399999999999997</v>
      </c>
      <c r="E36" s="377">
        <f ca="1">IF(E35="","", $D$36)</f>
        <v>0.71399999999999997</v>
      </c>
      <c r="F36" s="377" t="str">
        <f>IF(F35="","", $D$36)</f>
        <v/>
      </c>
      <c r="G36" s="382">
        <f ca="1">D36</f>
        <v>0.71399999999999997</v>
      </c>
      <c r="H36" s="6"/>
      <c r="I36" s="72"/>
    </row>
    <row r="37" spans="1:9" ht="15.75" customHeight="1" thickTop="1">
      <c r="B37" s="5" t="s">
        <v>353</v>
      </c>
      <c r="C37" s="391">
        <f>'Qualitative Analysis'!E64^2</f>
        <v>0.21203049084004355</v>
      </c>
      <c r="D37" s="373">
        <f ca="1">D34-D36</f>
        <v>-4.9007066703605995E-2</v>
      </c>
      <c r="E37" s="373">
        <f ca="1">IF(E34="","",E34-E36)</f>
        <v>-7.4635463124000934E-3</v>
      </c>
      <c r="F37" s="373" t="str">
        <f>IF(F34="","",F34-F36)</f>
        <v/>
      </c>
      <c r="G37" s="374">
        <f ca="1">G34-G36</f>
        <v>6.3413326397818714E-3</v>
      </c>
      <c r="I37" s="72" t="s">
        <v>355</v>
      </c>
    </row>
    <row r="38" spans="1:9" ht="15.75" customHeight="1" thickBot="1">
      <c r="B38" s="5" t="s">
        <v>142</v>
      </c>
      <c r="C38" s="372"/>
      <c r="D38" s="378">
        <f ca="1">D11</f>
        <v>1.06</v>
      </c>
      <c r="E38" s="378">
        <f ca="1">E11</f>
        <v>1.1236000000000002</v>
      </c>
      <c r="F38" s="378" t="str">
        <f>F11</f>
        <v/>
      </c>
      <c r="G38" s="378">
        <f ca="1">IF(F30="",IF(E30="",D38,E38),F38)*(1+G37-C37)</f>
        <v>0.89248766184618611</v>
      </c>
      <c r="I38" s="72"/>
    </row>
    <row r="39" spans="1:9" ht="15.75" customHeight="1" thickTop="1">
      <c r="B39" s="5" t="s">
        <v>367</v>
      </c>
      <c r="C39" s="379"/>
      <c r="D39" s="380">
        <f ca="1">D37/D38</f>
        <v>-4.6233081795854711E-2</v>
      </c>
      <c r="E39" s="380">
        <f ca="1">IF(E37="","",E37/E38)</f>
        <v>-6.6425296479174908E-3</v>
      </c>
      <c r="F39" s="380" t="str">
        <f>IF(F37="","",F37/F38)</f>
        <v/>
      </c>
      <c r="G39" s="380">
        <f ca="1">G37/G38</f>
        <v>7.1052328349999697E-3</v>
      </c>
      <c r="I39" s="72"/>
    </row>
    <row r="40" spans="1:9" ht="15.75" customHeight="1" thickBot="1">
      <c r="B40" s="6"/>
      <c r="C40" s="6"/>
      <c r="D40" s="6"/>
      <c r="E40" s="495" t="s">
        <v>377</v>
      </c>
      <c r="F40" s="496"/>
      <c r="G40" s="389">
        <f>Asset_Model!D7</f>
        <v>12.975120339817066</v>
      </c>
    </row>
    <row r="41" spans="1:9" ht="15.75" customHeight="1" thickTop="1">
      <c r="E41" s="493" t="s">
        <v>361</v>
      </c>
      <c r="F41" s="494"/>
      <c r="G41" s="365">
        <f ca="1">(G40+SUM(D39:G39))*Exchange_Rate</f>
        <v>12.929349961208294</v>
      </c>
    </row>
    <row r="42" spans="1:9" ht="15.5" customHeight="1"/>
    <row r="43" spans="1:9" ht="15.75" customHeight="1">
      <c r="B43" s="25" t="s">
        <v>311</v>
      </c>
      <c r="C43" s="489" t="s">
        <v>143</v>
      </c>
      <c r="D43" s="490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11.926168990330419</v>
      </c>
      <c r="D44" s="115" t="str">
        <f>Dashboard!J4</f>
        <v>HKD</v>
      </c>
      <c r="E44" s="116">
        <f ca="1">(C44-G16)/C9</f>
        <v>10.268579448537082</v>
      </c>
      <c r="F44" s="151">
        <f ca="1">C44/(Data!C28*Exchange_Rate*Data!C4/Common_Shares)</f>
        <v>0.40954565117831115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370</v>
      </c>
      <c r="C47" s="327">
        <f>Asset_Model!I3*Exchange_Rate*Data!C4/Common_Shares*0.49</f>
        <v>14.159170371656824</v>
      </c>
      <c r="D47" s="326" t="str">
        <f>D44</f>
        <v>HKD</v>
      </c>
      <c r="E47" s="116">
        <f>(C47-G16)/C9</f>
        <v>15.453024215557791</v>
      </c>
      <c r="F47" s="151">
        <f>C47/(Asset_Model!I3*Exchange_Rate*Data!C4/Common_Shares)</f>
        <v>0.49</v>
      </c>
      <c r="I47" s="72" t="s">
        <v>365</v>
      </c>
    </row>
    <row r="48" spans="1:9" ht="15.75" customHeight="1">
      <c r="B48" s="340" t="s">
        <v>371</v>
      </c>
      <c r="C48" s="338">
        <f ca="1">MIN(C47,C44)+ABS(C47-C44)*'Qualitative Analysis'!E64</f>
        <v>12.95439397162469</v>
      </c>
      <c r="D48" s="326" t="str">
        <f>D47</f>
        <v>HKD</v>
      </c>
      <c r="E48" s="116">
        <f ca="1">(C48-G16)/C9</f>
        <v>12.655848739174315</v>
      </c>
      <c r="F48" s="151">
        <f ca="1">C48/(Asset_Model!I3*Exchange_Rate*Data!C4/Common_Shares)</f>
        <v>0.44830684845791091</v>
      </c>
      <c r="I48" s="72"/>
    </row>
    <row r="49" spans="2:6" ht="15.75" customHeight="1">
      <c r="B49" s="325" t="s">
        <v>310</v>
      </c>
      <c r="C49" s="338">
        <f ca="1">MAX(G41,C44)/(1+Dashboard!I14)</f>
        <v>10.343479968966635</v>
      </c>
      <c r="D49" s="326" t="str">
        <f>D47</f>
        <v>HKD</v>
      </c>
      <c r="E49" s="116">
        <f ca="1">(C49-G16)/C9</f>
        <v>6.5939897759787058</v>
      </c>
      <c r="F49" s="151">
        <f ca="1">C49/(Asset_Model!I3*Exchange_Rate*Data!C4/Common_Shares)</f>
        <v>0.35795212938034499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3" zoomScaleNormal="100" workbookViewId="0">
      <selection activeCell="E4" sqref="E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2.6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2.4</v>
      </c>
      <c r="E8" s="94">
        <f>D8/4</f>
        <v>0.6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1</v>
      </c>
      <c r="E28" s="30" t="s">
        <v>153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0.55000000000000004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4</v>
      </c>
      <c r="E31" s="30" t="s">
        <v>155</v>
      </c>
      <c r="F31" s="6"/>
      <c r="G31" s="266"/>
    </row>
    <row r="32" spans="2:7" ht="15" customHeight="1">
      <c r="B32" s="52" t="s">
        <v>261</v>
      </c>
      <c r="D32" s="96">
        <f t="shared" si="3"/>
        <v>0</v>
      </c>
      <c r="E32" s="30" t="s">
        <v>168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3</v>
      </c>
      <c r="E34" s="30" t="s">
        <v>146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0.70833333333333337</v>
      </c>
      <c r="E42" s="48" t="str">
        <f>IF(D42&gt;80%,"Very High",IF(D42&lt;=20%,"Very Low",IF(D42&lt;=40%,"Low",IF(D42&lt;=60%,"Medium","High"))))</f>
        <v>High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3</v>
      </c>
      <c r="E47" s="30" t="s">
        <v>146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0.36564625850340138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1</v>
      </c>
      <c r="E52" s="30" t="s">
        <v>153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346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4</v>
      </c>
      <c r="E56" s="30" t="s">
        <v>155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2</v>
      </c>
      <c r="E61" s="30" t="s">
        <v>347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0.49187074829931976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1.84187074829932</v>
      </c>
      <c r="E64" s="119">
        <f>AVERAGE(AVERAGE(D12:D16)/4,AVERAGE(D18:D22)/4,AVERAGE(D24:D28)/4,D62)</f>
        <v>0.46046768707482999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2023-08-01T09:50:48Z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