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62F5C5EE-0E7D-4807-A78B-8B99476F6464}" xr6:coauthVersionLast="47" xr6:coauthVersionMax="47" xr10:uidLastSave="{00000000-0000-0000-0000-000000000000}"/>
  <bookViews>
    <workbookView xWindow="1330" yWindow="2700" windowWidth="14400" windowHeight="7520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4" i="7" l="1"/>
  <c r="I24" i="7"/>
  <c r="H24" i="7"/>
  <c r="F24" i="7"/>
  <c r="G23" i="7"/>
  <c r="G6" i="7"/>
  <c r="G7" i="7"/>
  <c r="G5" i="7"/>
  <c r="C8" i="7"/>
  <c r="D8" i="7"/>
  <c r="E8" i="7"/>
  <c r="F8" i="7"/>
  <c r="F7" i="7"/>
  <c r="C40" i="2"/>
  <c r="C33" i="2"/>
  <c r="G22" i="7"/>
  <c r="C32" i="2"/>
  <c r="C31" i="2"/>
  <c r="C30" i="2"/>
  <c r="C29" i="2"/>
  <c r="C23" i="2"/>
  <c r="C22" i="2"/>
  <c r="C21" i="2"/>
  <c r="C27" i="2"/>
  <c r="C25" i="2"/>
  <c r="C26" i="2"/>
  <c r="C24" i="2"/>
  <c r="G26" i="2"/>
  <c r="G21" i="2"/>
  <c r="G9" i="2"/>
  <c r="G11" i="2"/>
  <c r="F11" i="2"/>
  <c r="E11" i="2"/>
  <c r="D11" i="2"/>
  <c r="E37" i="3"/>
  <c r="C11" i="2"/>
  <c r="C9" i="2"/>
  <c r="I13" i="3"/>
  <c r="I32" i="3"/>
  <c r="C36" i="3"/>
  <c r="C34" i="3"/>
  <c r="C35" i="3"/>
  <c r="C38" i="3"/>
  <c r="C17" i="3"/>
  <c r="G35" i="2"/>
  <c r="H35" i="2"/>
  <c r="I35" i="2"/>
  <c r="J35" i="2"/>
  <c r="K35" i="2"/>
  <c r="L35" i="2"/>
  <c r="M35" i="2"/>
  <c r="I19" i="7" l="1"/>
  <c r="I16" i="7"/>
  <c r="C37" i="1"/>
  <c r="C45" i="4"/>
  <c r="C29" i="4"/>
  <c r="F10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G8" i="7" l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G10" i="7" l="1"/>
  <c r="G14" i="7"/>
  <c r="J108" i="8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H33" i="2"/>
  <c r="I33" i="2"/>
  <c r="J33" i="2"/>
  <c r="K33" i="2"/>
  <c r="L33" i="2"/>
  <c r="M33" i="2"/>
  <c r="F23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F35" i="2" s="1"/>
  <c r="F36" i="2" s="1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E45" i="3" l="1"/>
  <c r="E47" i="3"/>
  <c r="D47" i="3" s="1"/>
  <c r="F9" i="7"/>
  <c r="C35" i="2"/>
  <c r="C11" i="1"/>
  <c r="G16" i="2"/>
  <c r="G17" i="2" s="1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7" i="2"/>
  <c r="D16" i="2"/>
  <c r="D38" i="2" s="1"/>
  <c r="I16" i="2"/>
  <c r="C16" i="2"/>
  <c r="C17" i="2" s="1"/>
  <c r="F16" i="2"/>
  <c r="F38" i="2" s="1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C7" i="4" s="1"/>
  <c r="I7" i="3"/>
  <c r="F13" i="7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G35" i="4" l="1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G36" i="4" l="1"/>
  <c r="F27" i="3"/>
  <c r="F26" i="3"/>
  <c r="F24" i="3"/>
  <c r="F25" i="3"/>
  <c r="D28" i="3"/>
  <c r="E49" i="3"/>
  <c r="D49" i="3" s="1"/>
  <c r="G18" i="4"/>
  <c r="C3" i="7"/>
  <c r="F25" i="7"/>
  <c r="I23" i="7"/>
  <c r="C4" i="4"/>
  <c r="F26" i="7"/>
  <c r="C55" i="2"/>
  <c r="G17" i="7"/>
  <c r="D44" i="3"/>
  <c r="D45" i="3"/>
  <c r="G15" i="4"/>
  <c r="J27" i="3"/>
  <c r="D25" i="3"/>
  <c r="C6" i="4" l="1"/>
  <c r="D6" i="3"/>
  <c r="D7" i="3" s="1"/>
  <c r="G16" i="7"/>
  <c r="G15" i="7"/>
  <c r="G24" i="7" s="1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D6" i="4" l="1"/>
  <c r="G16" i="4"/>
  <c r="F16" i="1" s="1"/>
  <c r="H16" i="1" s="1"/>
  <c r="D5" i="4"/>
  <c r="G26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B21" i="4" l="1"/>
  <c r="D10" i="4"/>
  <c r="F3" i="4"/>
  <c r="E31" i="4"/>
  <c r="I18" i="7"/>
  <c r="H20" i="7"/>
  <c r="H19" i="7" s="1"/>
  <c r="D11" i="4" l="1"/>
  <c r="D35" i="4"/>
  <c r="D36" i="4" s="1"/>
  <c r="F27" i="4"/>
  <c r="E7" i="4"/>
  <c r="F31" i="4"/>
  <c r="I20" i="7"/>
  <c r="D37" i="4" l="1"/>
  <c r="D12" i="4"/>
  <c r="D38" i="4"/>
  <c r="I26" i="7"/>
  <c r="F4" i="4"/>
  <c r="F8" i="4" s="1"/>
  <c r="F28" i="4" s="1"/>
  <c r="F32" i="4" s="1"/>
  <c r="F33" i="4" s="1"/>
  <c r="F34" i="4" s="1"/>
  <c r="H26" i="7"/>
  <c r="D39" i="4" l="1"/>
  <c r="F5" i="4"/>
  <c r="F10" i="4"/>
  <c r="F9" i="4"/>
  <c r="F11" i="4" l="1"/>
  <c r="F12" i="4" s="1"/>
  <c r="F35" i="4"/>
  <c r="F36" i="4" s="1"/>
  <c r="F37" i="4" s="1"/>
  <c r="F38" i="4" l="1"/>
  <c r="F39" i="4"/>
  <c r="J18" i="1"/>
  <c r="H18" i="1"/>
  <c r="E27" i="4"/>
  <c r="E4" i="4"/>
  <c r="E10" i="4" l="1"/>
  <c r="E11" i="4" s="1"/>
  <c r="E12" i="4" s="1"/>
  <c r="E5" i="4"/>
  <c r="E8" i="4"/>
  <c r="G2" i="4"/>
  <c r="G26" i="4" s="1"/>
  <c r="E38" i="4" l="1"/>
  <c r="E35" i="4"/>
  <c r="E36" i="4" s="1"/>
  <c r="E37" i="4" s="1"/>
  <c r="E9" i="4"/>
  <c r="E28" i="4"/>
  <c r="G9" i="4" l="1"/>
  <c r="G11" i="4"/>
  <c r="E32" i="4"/>
  <c r="E33" i="4" s="1"/>
  <c r="E34" i="4" s="1"/>
  <c r="G38" i="4" s="1"/>
  <c r="E23" i="4" l="1"/>
  <c r="F23" i="4" s="1"/>
  <c r="G23" i="4" s="1"/>
  <c r="E22" i="4"/>
  <c r="F22" i="4" s="1"/>
  <c r="G22" i="4" s="1"/>
  <c r="E39" i="4"/>
  <c r="G34" i="4"/>
  <c r="G37" i="4" s="1"/>
  <c r="G39" i="4" s="1"/>
  <c r="G24" i="4" l="1"/>
  <c r="G41" i="4"/>
  <c r="C44" i="4" l="1"/>
  <c r="C46" i="4" s="1"/>
  <c r="E46" i="4" s="1"/>
  <c r="E14" i="1" l="1"/>
  <c r="I37" i="1"/>
  <c r="D16" i="1" s="1"/>
  <c r="F46" i="4"/>
  <c r="G46" i="4"/>
  <c r="F44" i="4"/>
  <c r="G44" i="4"/>
  <c r="E44" i="4"/>
  <c r="C47" i="4"/>
  <c r="G47" i="4" s="1"/>
  <c r="F48" i="1" l="1"/>
  <c r="E47" i="4"/>
  <c r="D18" i="1"/>
  <c r="E47" i="1"/>
  <c r="E52" i="1" s="1"/>
  <c r="F47" i="1"/>
  <c r="F47" i="4"/>
  <c r="E48" i="1"/>
  <c r="I38" i="1"/>
  <c r="B17" i="1" s="1"/>
  <c r="J17" i="1" s="1"/>
  <c r="E51" i="1" l="1"/>
  <c r="F50" i="1"/>
  <c r="F51" i="1"/>
  <c r="F52" i="1"/>
  <c r="D17" i="1"/>
  <c r="E50" i="1"/>
  <c r="H17" i="1"/>
  <c r="E37" i="1"/>
  <c r="E53" i="1" l="1"/>
  <c r="F53" i="1"/>
</calcChain>
</file>

<file path=xl/sharedStrings.xml><?xml version="1.0" encoding="utf-8"?>
<sst xmlns="http://schemas.openxmlformats.org/spreadsheetml/2006/main" count="484" uniqueCount="416">
  <si>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</si>
  <si>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</si>
  <si>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</si>
  <si>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</si>
  <si>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</si>
  <si>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</si>
  <si>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</si>
  <si>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</si>
  <si>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</si>
  <si>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</si>
  <si>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</si>
  <si>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</si>
  <si>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</si>
  <si>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</si>
  <si>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</si>
  <si>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</si>
  <si>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</si>
  <si>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</si>
  <si>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</si>
  <si>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</si>
  <si>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</si>
  <si>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</si>
  <si>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</si>
  <si>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</si>
  <si>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</si>
  <si>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</si>
  <si>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</si>
  <si>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</si>
  <si>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</si>
  <si>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</si>
  <si>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</si>
  <si>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</si>
  <si>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</si>
  <si>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</si>
  <si>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</si>
  <si>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</si>
  <si>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</si>
  <si>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</si>
  <si>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</si>
  <si>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</si>
  <si>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</si>
  <si>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</si>
  <si>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</si>
  <si>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</si>
  <si>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</si>
  <si>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</si>
  <si>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</si>
  <si>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</si>
  <si>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</si>
  <si>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</si>
  <si>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</si>
  <si>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</si>
  <si>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</si>
  <si>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</si>
  <si>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</si>
  <si>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</si>
  <si>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</si>
  <si>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</si>
  <si>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</si>
  <si>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</si>
  <si>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</si>
  <si>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</si>
  <si>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</si>
  <si>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</si>
  <si>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</si>
  <si>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</si>
  <si>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</si>
  <si>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</si>
  <si>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</si>
  <si>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</si>
  <si>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</si>
  <si>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</si>
  <si>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</si>
  <si>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</si>
  <si>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</si>
  <si>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</si>
  <si>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</si>
  <si>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</si>
  <si>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</si>
  <si>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</si>
  <si>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</si>
  <si>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</si>
  <si>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</si>
  <si>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</si>
  <si>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</si>
  <si>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</si>
  <si>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</si>
  <si>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</si>
  <si>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</si>
  <si>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</si>
  <si>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</si>
  <si>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</si>
  <si>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</si>
  <si>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</si>
  <si>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</si>
  <si>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</si>
  <si>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</si>
  <si>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</si>
  <si>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</si>
  <si>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</si>
  <si>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</si>
  <si>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</si>
  <si>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</si>
  <si>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</si>
  <si>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</si>
  <si>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</si>
  <si>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</si>
  <si>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</si>
  <si>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</si>
  <si>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</si>
  <si>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</si>
  <si>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</si>
  <si>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</si>
  <si>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</si>
  <si>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</si>
  <si>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</si>
  <si>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</si>
  <si>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</si>
  <si>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</si>
  <si>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</si>
  <si>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</si>
  <si>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</si>
  <si>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</si>
  <si>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</si>
  <si>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</si>
  <si>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</si>
  <si>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</si>
  <si>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</si>
  <si>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</si>
  <si>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</si>
  <si>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</si>
  <si>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</si>
  <si>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</si>
  <si>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</si>
  <si>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</si>
  <si>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</si>
  <si>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</si>
  <si>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</si>
  <si>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</si>
  <si>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</si>
  <si>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</si>
  <si>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</si>
  <si>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</si>
  <si>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</si>
  <si>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</si>
  <si>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</si>
  <si>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</si>
  <si>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</si>
  <si>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</si>
  <si>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</si>
  <si>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</si>
  <si>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</si>
  <si>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</si>
  <si>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</si>
  <si>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</si>
  <si>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</si>
  <si>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</si>
  <si>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</si>
  <si>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</si>
  <si>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</si>
  <si>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</si>
  <si>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</si>
  <si>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</si>
  <si>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</si>
  <si>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</si>
  <si>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</si>
  <si>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</si>
  <si>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</si>
  <si>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</si>
  <si>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</si>
  <si>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</si>
  <si>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</si>
  <si>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</si>
  <si>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</si>
  <si>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</si>
  <si>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</si>
  <si>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</si>
  <si>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</si>
  <si>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</si>
  <si>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</si>
  <si>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</si>
  <si>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</si>
  <si>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</si>
  <si>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</si>
  <si>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</si>
  <si>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</si>
  <si>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</si>
  <si>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</si>
  <si>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</si>
  <si>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</si>
  <si>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</si>
  <si>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</si>
  <si>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</si>
  <si>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</si>
  <si>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</si>
  <si>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</si>
  <si>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</si>
  <si>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</si>
  <si>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</si>
  <si>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</si>
  <si>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</si>
  <si>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</si>
  <si>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</si>
  <si>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</si>
  <si>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</si>
  <si>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</si>
  <si>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</si>
  <si>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</si>
  <si>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</si>
  <si>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</si>
  <si>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</si>
  <si>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</si>
  <si>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</si>
  <si>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</si>
  <si>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</si>
  <si>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</si>
  <si>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</si>
  <si>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</si>
  <si>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</si>
  <si>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</si>
  <si>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</si>
  <si>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</si>
  <si>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</si>
  <si>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</si>
  <si>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</si>
  <si>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</si>
  <si>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</si>
  <si>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</si>
  <si>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</si>
  <si>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</si>
  <si>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</si>
  <si>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</si>
  <si>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</si>
  <si>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</si>
  <si>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</si>
  <si>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</si>
  <si>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</si>
  <si>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</si>
  <si>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</si>
  <si>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</si>
  <si>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</si>
  <si>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</si>
  <si>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</si>
  <si>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</si>
  <si>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</si>
  <si>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</si>
  <si>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</si>
  <si>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</si>
  <si>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</si>
  <si>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</si>
  <si>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</si>
  <si>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</si>
  <si>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</si>
  <si>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</si>
  <si>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</si>
  <si>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</si>
  <si>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</si>
  <si>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</si>
  <si>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</si>
  <si>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</si>
  <si>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</si>
  <si>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</si>
  <si>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</si>
  <si>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</si>
  <si>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</si>
  <si>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</si>
  <si>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</si>
  <si>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</si>
  <si>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</si>
  <si>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</si>
  <si>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</si>
  <si>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</si>
  <si>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</si>
  <si>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</si>
  <si>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</si>
  <si>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</si>
  <si>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</si>
  <si>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</si>
  <si>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</si>
  <si>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</si>
  <si>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</si>
  <si>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</si>
  <si>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</si>
  <si>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</si>
  <si>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</si>
  <si>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</si>
  <si>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</si>
  <si>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</si>
  <si>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</si>
  <si>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</si>
  <si>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</si>
  <si>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</si>
  <si>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</si>
  <si>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</si>
  <si>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</si>
  <si>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</si>
  <si>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</si>
  <si>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</si>
  <si>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</si>
  <si>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</si>
  <si>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</si>
  <si>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</si>
  <si>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</si>
  <si>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</si>
  <si>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</si>
  <si>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</si>
  <si>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</si>
  <si>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</si>
  <si>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</si>
  <si>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</si>
  <si>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</si>
  <si>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</si>
  <si>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</si>
  <si>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</si>
  <si>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</si>
  <si>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</si>
  <si>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</si>
  <si>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</si>
  <si>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</si>
  <si>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</si>
  <si>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</si>
  <si>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</si>
  <si>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</si>
  <si>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</si>
  <si>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</si>
  <si>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</si>
  <si>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</si>
  <si>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</si>
  <si>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</si>
  <si>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</si>
  <si>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</si>
  <si>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</si>
  <si>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</si>
  <si>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</si>
  <si>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</si>
  <si>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</si>
  <si>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</si>
  <si>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</si>
  <si>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</si>
  <si>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</si>
  <si>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</si>
  <si>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</si>
  <si>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</si>
  <si>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</si>
  <si>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</si>
  <si>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</si>
  <si>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</si>
  <si>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</si>
  <si>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</si>
  <si>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</si>
  <si>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</si>
  <si>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</si>
  <si>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</si>
  <si>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</si>
  <si>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</si>
  <si>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</si>
  <si>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</si>
  <si>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</si>
  <si>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</si>
  <si>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</si>
  <si>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</si>
  <si>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</si>
  <si>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</si>
  <si>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</si>
  <si>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</si>
  <si>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</si>
  <si>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</si>
  <si>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</si>
  <si>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</si>
  <si>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</si>
  <si>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</si>
  <si>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</si>
  <si>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</si>
  <si>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</si>
  <si>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</si>
  <si>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</si>
  <si>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</si>
  <si>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</si>
  <si>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</si>
  <si>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</si>
  <si>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</si>
  <si>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</si>
  <si>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</si>
  <si>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</si>
  <si>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</si>
  <si>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</si>
  <si>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</si>
  <si>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</si>
  <si>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</si>
  <si>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</si>
  <si>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</si>
  <si>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</si>
  <si>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</si>
  <si>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</si>
  <si>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</si>
  <si>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0083.HK</t>
  </si>
  <si>
    <t>SINO LAND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</si>
  <si>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</si>
  <si>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</si>
  <si>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</si>
  <si>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物业销售(特别内地)业绩波动较大，难以预测</t>
  </si>
  <si>
    <t>1. The room for profitable reinvestment is small
2. Organic growth rate will be low</t>
  </si>
  <si>
    <t>1. 香港大众住宅楼市场基本饱和、商业物业市场低迷、办公楼(特别九龙)供应量过大
2. 内地市场低迷
3. 因利息持续上涨。上半年业绩很差，预计23年6月止年报的P&amp;L数字将很难看。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</si>
  <si>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金管局认为高利率会持续一段时间，但香港楼市仍然坚挺</t>
  </si>
  <si>
    <t>HK</t>
  </si>
  <si>
    <t>物業銷售</t>
  </si>
  <si>
    <t>物業管理及其他服務</t>
  </si>
  <si>
    <t>酒店經營</t>
  </si>
  <si>
    <t>經營租賃之租金收益</t>
  </si>
  <si>
    <t>PB 0.54 in the past 5 years, 0.6 in the past 10 years</t>
  </si>
  <si>
    <t>Consumer Staples, 15.1y</t>
  </si>
  <si>
    <t xml:space="preserve">Asset Plays </t>
  </si>
  <si>
    <t>FCInv = Δ PP&amp;E + D&amp;A</t>
  </si>
  <si>
    <t>FY</t>
  </si>
  <si>
    <t>- D&amp;A</t>
  </si>
  <si>
    <t>FCInv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</si>
</sst>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7" fillId="8" borderId="9" xfId="0" applyNumberFormat="1" applyFont="1" applyFill="1" applyBorder="1" applyAlignment="1">
      <alignment horizontal="center"/>
    </xf>
    <xf numFmtId="3" fontId="1" fillId="8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56000</c:v>
                </c:pt>
                <c:pt idx="1" formatCode="#,##0">
                  <c:v>247000</c:v>
                </c:pt>
                <c:pt idx="2" formatCode="#,##0">
                  <c:v>1176000</c:v>
                </c:pt>
                <c:pt idx="3" formatCode="#,##0">
                  <c:v>231234.52100000001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1287845</c:v>
                </c:pt>
                <c:pt idx="1" formatCode="#,##0">
                  <c:v>508443</c:v>
                </c:pt>
                <c:pt idx="2" formatCode="#,##0">
                  <c:v>3053687</c:v>
                </c:pt>
                <c:pt idx="3" formatCode="#,##0">
                  <c:v>3513908.3724799999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1688050</c:v>
                </c:pt>
                <c:pt idx="1" formatCode="#,##0">
                  <c:v>9646036</c:v>
                </c:pt>
                <c:pt idx="2" formatCode="#,##0">
                  <c:v>5735396</c:v>
                </c:pt>
                <c:pt idx="3" formatCode="#,##0">
                  <c:v>5849379.3020000001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25" zoomScaleNormal="100" workbookViewId="0">
      <selection activeCell="E30" sqref="E30:F30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0083.HK : SINO LAND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395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396</v>
      </c>
      <c r="D4" s="322"/>
      <c r="E4" s="6"/>
      <c r="G4" s="5" t="s">
        <v>5</v>
      </c>
      <c r="I4" s="221">
        <v>9.02</v>
      </c>
      <c r="J4" s="222" t="s">
        <v>6</v>
      </c>
      <c r="K4" s="92"/>
    </row>
    <row r="5" spans="1:12" ht="15.75" customHeight="1">
      <c r="B5" s="5" t="s">
        <v>7</v>
      </c>
      <c r="C5" s="354">
        <v>44956</v>
      </c>
      <c r="D5" s="322"/>
      <c r="E5" s="79" t="str">
        <f ca="1">IF(C5+30&gt;=TODAY(),"Patience Premium","")</f>
        <v/>
      </c>
      <c r="G5" s="5" t="s">
        <v>8</v>
      </c>
      <c r="I5" s="321">
        <v>8171879936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45107</v>
      </c>
      <c r="G6" s="85" t="s">
        <v>9</v>
      </c>
      <c r="H6" s="84"/>
      <c r="I6" s="361">
        <f>I4*I5/1000000</f>
        <v>73710.357022719996</v>
      </c>
      <c r="J6" s="361"/>
      <c r="K6" s="91"/>
    </row>
    <row r="7" spans="1:12" ht="15.75" customHeight="1">
      <c r="B7" s="86" t="s">
        <v>10</v>
      </c>
      <c r="C7" s="218">
        <f>(Data!C42*Exchange_Rate)/I4</f>
        <v>4.7671840354767188E-2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12.60139806586268</v>
      </c>
      <c r="J9" s="166">
        <f>IF(I9="NNI","NNI",1/I9)</f>
        <v>7.9356274182704412E-2</v>
      </c>
    </row>
    <row r="10" spans="1:12" ht="15.75" customHeight="1">
      <c r="B10" s="3" t="s">
        <v>226</v>
      </c>
      <c r="C10" s="122" t="s">
        <v>404</v>
      </c>
      <c r="D10" s="122">
        <v>3.8149999999999996E-2</v>
      </c>
      <c r="E10" s="5"/>
      <c r="G10" s="85" t="s">
        <v>329</v>
      </c>
      <c r="H10" s="84"/>
      <c r="I10" s="165">
        <f>I4/(Data!C29*I12*Data!C4/Common_Shares)</f>
        <v>0.45192009900780122</v>
      </c>
      <c r="J10" s="223">
        <f>I4/(Data!C7*Data!C4/Common_Shares*Exchange_Rate)</f>
        <v>6.2039043244138288</v>
      </c>
    </row>
    <row r="11" spans="1:12" ht="15.75" customHeight="1" thickBot="1">
      <c r="B11" s="124" t="s">
        <v>227</v>
      </c>
      <c r="C11" s="331">
        <f ca="1">C12-D10</f>
        <v>2.1850000000000001E-2</v>
      </c>
      <c r="D11" s="332"/>
      <c r="E11" s="13"/>
      <c r="G11" s="5" t="s">
        <v>14</v>
      </c>
      <c r="H11" s="6"/>
      <c r="I11" s="360" t="s">
        <v>6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0.06</v>
      </c>
      <c r="D12" s="368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10.488633138016668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9.02</v>
      </c>
      <c r="C16" s="347">
        <v>0.2</v>
      </c>
      <c r="D16" s="238">
        <f ca="1">I37/B16-(1+C16)</f>
        <v>4.0072607503345514E-2</v>
      </c>
      <c r="E16" s="341" t="s">
        <v>21</v>
      </c>
      <c r="F16" s="362">
        <f>(Val_Models!G16)*Exchange_Rate</f>
        <v>5.6750819333659113</v>
      </c>
      <c r="G16" s="341" t="s">
        <v>22</v>
      </c>
      <c r="H16" s="239">
        <f>B16-$F$16</f>
        <v>3.3449180666340883</v>
      </c>
      <c r="I16" s="336">
        <v>0.43</v>
      </c>
      <c r="J16" s="166">
        <f>I16/B16</f>
        <v>4.7671840354767188E-2</v>
      </c>
    </row>
    <row r="17" spans="1:10" ht="15.75" customHeight="1">
      <c r="B17" s="116">
        <f ca="1">MIN((I37+I38)/2,I37/(1+C16), IF(J20=0,E14,I37/(1+C16)))</f>
        <v>9.3212124330668136</v>
      </c>
      <c r="C17" s="348"/>
      <c r="D17" s="149">
        <f ca="1">I37/B17-(1+C16)</f>
        <v>0</v>
      </c>
      <c r="E17" s="342"/>
      <c r="F17" s="363"/>
      <c r="G17" s="342"/>
      <c r="H17" s="236">
        <f ca="1">B17-$F$16</f>
        <v>3.6461304997009023</v>
      </c>
      <c r="I17" s="337"/>
      <c r="J17" s="149">
        <f ca="1">I16/B17</f>
        <v>4.613133785842962E-2</v>
      </c>
    </row>
    <row r="18" spans="1:10" ht="15.75" customHeight="1">
      <c r="B18" s="129">
        <f>C37</f>
        <v>8.1999999999999993</v>
      </c>
      <c r="C18" s="349"/>
      <c r="D18" s="237">
        <f ca="1">I37/B18-(1+C16)</f>
        <v>0.16407986825368015</v>
      </c>
      <c r="E18" s="343"/>
      <c r="F18" s="364"/>
      <c r="G18" s="343"/>
      <c r="H18" s="98">
        <f>B18-$F$16</f>
        <v>2.524918066634088</v>
      </c>
      <c r="I18" s="338"/>
      <c r="J18" s="158">
        <f>I16/B18</f>
        <v>5.2439024390243907E-2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411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57" t="s">
        <v>397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398</v>
      </c>
      <c r="D22" s="352"/>
      <c r="E22" s="352"/>
      <c r="F22" s="352"/>
      <c r="G22" s="366" t="s">
        <v>400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399</v>
      </c>
      <c r="D23" s="340"/>
      <c r="E23" s="340"/>
      <c r="F23" s="340"/>
      <c r="G23" s="339" t="s">
        <v>401</v>
      </c>
      <c r="H23" s="339"/>
      <c r="I23" s="340"/>
      <c r="J23" s="340"/>
    </row>
    <row r="24" spans="1:10" ht="52.5" customHeight="1">
      <c r="A24" s="6"/>
      <c r="B24" s="19" t="s">
        <v>292</v>
      </c>
      <c r="C24" s="369" t="s">
        <v>402</v>
      </c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291</v>
      </c>
      <c r="C25" s="370" t="s">
        <v>403</v>
      </c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55">
        <v>44988</v>
      </c>
      <c r="D28" s="356"/>
      <c r="E28" s="346" t="str">
        <f>IF(C28="","","Action_Planning")</f>
        <v>Action_Planning</v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0.28909090909090907</v>
      </c>
      <c r="D29" s="329"/>
      <c r="E29" s="334">
        <f>E33/D27</f>
        <v>0.12424242424242424</v>
      </c>
      <c r="F29" s="329"/>
      <c r="G29" s="345">
        <f>G33/D27</f>
        <v>0</v>
      </c>
      <c r="H29" s="345"/>
      <c r="I29" s="344">
        <f>C29+E29+G29</f>
        <v>0.41333333333333333</v>
      </c>
      <c r="J29" s="344"/>
    </row>
    <row r="30" spans="1:10" ht="15.75" customHeight="1">
      <c r="B30" s="18" t="s">
        <v>32</v>
      </c>
      <c r="C30" s="321">
        <v>20000</v>
      </c>
      <c r="D30" s="322"/>
      <c r="E30" s="321">
        <v>10000</v>
      </c>
      <c r="F30" s="322"/>
      <c r="G30" s="321"/>
      <c r="H30" s="321"/>
      <c r="I30" s="350">
        <f>C30+E30+G30</f>
        <v>30000</v>
      </c>
      <c r="J30" s="350"/>
    </row>
    <row r="31" spans="1:10" ht="15.75" customHeight="1">
      <c r="B31" s="18" t="s">
        <v>33</v>
      </c>
      <c r="C31" s="323">
        <v>9.5399999999999991</v>
      </c>
      <c r="D31" s="322"/>
      <c r="E31" s="323">
        <v>8.1999999999999993</v>
      </c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77959.734589439991</v>
      </c>
      <c r="D32" s="329"/>
      <c r="E32" s="330">
        <f>E31*$I$5/1000000</f>
        <v>67009.415475200003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190799.99999999997</v>
      </c>
      <c r="D33" s="327"/>
      <c r="E33" s="326">
        <f>E30*E31</f>
        <v>82000</v>
      </c>
      <c r="F33" s="327"/>
      <c r="G33" s="326">
        <f>G30*G31</f>
        <v>0</v>
      </c>
      <c r="H33" s="326"/>
      <c r="I33" s="326">
        <f>C33+E33+G33</f>
        <v>272800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9.0933333333333337</v>
      </c>
      <c r="F34" s="329"/>
      <c r="G34" s="78"/>
      <c r="H34" s="78"/>
      <c r="I34" s="328">
        <f>IF(I33=0,"",I33/I30)</f>
        <v>9.0933333333333337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74309.628218026672</v>
      </c>
      <c r="F35" s="325"/>
      <c r="G35" s="230"/>
      <c r="H35" s="230"/>
      <c r="I35" s="324">
        <f>IF(I34="","",I34*$I$5/1000000)</f>
        <v>74309.628218026672</v>
      </c>
      <c r="J35" s="324"/>
    </row>
    <row r="36" spans="2:11" ht="15.75" customHeight="1"/>
    <row r="37" spans="2:11" ht="15.75" customHeight="1">
      <c r="B37" s="87" t="s">
        <v>256</v>
      </c>
      <c r="C37" s="374">
        <f>E31</f>
        <v>8.1999999999999993</v>
      </c>
      <c r="D37" s="375"/>
      <c r="E37" s="79" t="str">
        <f ca="1">IF(C37&gt;B17,"Caution! &gt; Breakeven price!","")</f>
        <v/>
      </c>
      <c r="F37" s="6"/>
      <c r="G37" s="371" t="s">
        <v>315</v>
      </c>
      <c r="H37" s="371"/>
      <c r="I37" s="372">
        <f ca="1">Val_Models!C46</f>
        <v>11.185454919680176</v>
      </c>
      <c r="J37" s="373"/>
    </row>
    <row r="38" spans="2:11" ht="15.75" customHeight="1">
      <c r="B38" s="87" t="s">
        <v>281</v>
      </c>
      <c r="C38" s="374">
        <f>E34</f>
        <v>9.0933333333333337</v>
      </c>
      <c r="D38" s="375"/>
      <c r="E38" s="6"/>
      <c r="F38" s="6"/>
      <c r="G38" s="371" t="s">
        <v>280</v>
      </c>
      <c r="H38" s="371"/>
      <c r="I38" s="372">
        <f ca="1">Val_Models!C47</f>
        <v>9.8592855205472993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0.58000000000000007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0.48680272108843536</v>
      </c>
      <c r="G43" s="77"/>
      <c r="H43" s="77"/>
      <c r="I43" s="77"/>
      <c r="J43" s="77"/>
    </row>
    <row r="44" spans="2:11" ht="15.75" customHeight="1">
      <c r="B44" s="3" t="s">
        <v>334</v>
      </c>
      <c r="C44" s="6"/>
      <c r="D44" s="6"/>
      <c r="E44" s="6"/>
      <c r="F44" s="171">
        <f>AVERAGE(Asset_Model!J28/4,1-Asset_Model!I56)</f>
        <v>0.98115205808791306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0.17247955132915904</v>
      </c>
      <c r="F47" s="171">
        <f ca="1">I37/C38-1</f>
        <v>0.23007202195896359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3.3468083914811375E-2</v>
      </c>
      <c r="F48" s="171">
        <f ca="1">Val_Models!C47/C38-1</f>
        <v>8.423227865256222E-2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0.67018571935966675</v>
      </c>
      <c r="F50" s="171">
        <f ca="1">IF(F47&lt;=0,0,AVERAGE(F41:F44,0.5*(1+F47+F48-C16)))</f>
        <v>0.68102138589642225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100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102.89889436832892</v>
      </c>
      <c r="F52" s="232">
        <f ca="1">MAX(C16*2.5/F47,1)+IF(F47&lt;C16,100,0)+IF(D18&lt;0,100,0)+IF(J20=1,2/(1+F47+F48-C16),0)</f>
        <v>2.1732325197245479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6.4809984659905508E-3</v>
      </c>
      <c r="F53" s="217">
        <f ca="1">MIN(MAX(F50-ABS((1-F50)/F51),0)/F52,H53)</f>
        <v>0.31190017340680137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392</v>
      </c>
    </row>
    <row r="65" spans="2:2" ht="15.75" customHeight="1">
      <c r="B65" s="3" t="s">
        <v>394</v>
      </c>
    </row>
    <row r="66" spans="2:2" ht="15.75" customHeight="1">
      <c r="B66" s="3" t="s">
        <v>393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8" sqref="C18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45107</v>
      </c>
      <c r="D3" s="6"/>
      <c r="E3" s="97">
        <v>1</v>
      </c>
      <c r="F3" s="178">
        <f t="array" ref="F3">AVERAGE(C19:INDEX(C19:M19,1,E3))</f>
        <v>5849379.3020000001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3195608.9760000003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45107</v>
      </c>
      <c r="D6" s="114">
        <f>EOMONTH(EDATE(C6,-12),0)</f>
        <v>44742</v>
      </c>
      <c r="E6" s="114">
        <f t="shared" ref="E6:M6" si="0">EOMONTH(EDATE(D6,-12),0)</f>
        <v>44377</v>
      </c>
      <c r="F6" s="114">
        <f t="shared" si="0"/>
        <v>44012</v>
      </c>
      <c r="G6" s="114">
        <f t="shared" si="0"/>
        <v>43646</v>
      </c>
      <c r="H6" s="114">
        <f t="shared" si="0"/>
        <v>43281</v>
      </c>
      <c r="I6" s="114">
        <f t="shared" si="0"/>
        <v>42916</v>
      </c>
      <c r="J6" s="114">
        <f t="shared" si="0"/>
        <v>42551</v>
      </c>
      <c r="K6" s="114">
        <f t="shared" si="0"/>
        <v>42185</v>
      </c>
      <c r="L6" s="114">
        <f t="shared" si="0"/>
        <v>41820</v>
      </c>
      <c r="M6" s="114">
        <f t="shared" si="0"/>
        <v>41455</v>
      </c>
    </row>
    <row r="7" spans="1:14" ht="15.75" customHeight="1">
      <c r="A7" s="9"/>
      <c r="B7" s="159" t="s">
        <v>41</v>
      </c>
      <c r="C7" s="160">
        <v>11881285.263</v>
      </c>
      <c r="D7" s="160">
        <v>15554174</v>
      </c>
      <c r="E7" s="160">
        <v>24545345</v>
      </c>
      <c r="F7" s="160">
        <v>5886888</v>
      </c>
      <c r="G7" s="160">
        <v>8009912.5779999997</v>
      </c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>IF(D7="","",C7/D7-1)</f>
        <v>-0.23613524813339493</v>
      </c>
      <c r="D8" s="149">
        <f>IF(E7="","",D7/E7-1)</f>
        <v>-0.36630860148838817</v>
      </c>
      <c r="E8" s="149">
        <f>IF(F7="","",E7/F7-1)</f>
        <v>3.1694941368002922</v>
      </c>
      <c r="F8" s="149">
        <f>IF(G7="","",F7/G7-1)</f>
        <v>-0.26504965657566504</v>
      </c>
      <c r="G8" s="149" t="str">
        <f>IF(H7="","",G7/H7-1)</f>
        <v/>
      </c>
      <c r="H8" s="149" t="str">
        <f t="shared" ref="H8:L8" si="1">IF(I7="","",H7/I7-1)</f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4180678.874+2311849.983</f>
        <v>6492528.8569999998</v>
      </c>
      <c r="D9" s="148">
        <v>7301864</v>
      </c>
      <c r="E9" s="148">
        <v>11010749</v>
      </c>
      <c r="F9" s="148">
        <v>2437232</v>
      </c>
      <c r="G9" s="148">
        <f>1319224.798+2200099.945</f>
        <v>3519324.7429999998</v>
      </c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>IF(C7="","",(C7-C9)/C7)</f>
        <v>0.4535499558100291</v>
      </c>
      <c r="D10" s="149">
        <f>IF(D7="","",(D7-D9)/D7)</f>
        <v>0.53055276352186875</v>
      </c>
      <c r="E10" s="149">
        <f>IF(E7="","",(E7-E9)/E7)</f>
        <v>0.55141192759767688</v>
      </c>
      <c r="F10" s="149">
        <f>IF(F7="","",(F7-F9)/F7)</f>
        <v>0.58598974534592807</v>
      </c>
      <c r="G10" s="149">
        <f>IF(G7="","",(G7-G9)/G7)</f>
        <v>0.56062881976188284</v>
      </c>
      <c r="H10" s="149" t="str">
        <f t="shared" ref="H10:M10" si="2">IF(H7="","",(H7-H9)/H7)</f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900468.409+227476.029</f>
        <v>1127944.4380000001</v>
      </c>
      <c r="D11" s="148">
        <f>867483.279+173939.406</f>
        <v>1041422.6849999999</v>
      </c>
      <c r="E11" s="148">
        <f>823281.283+213825.234</f>
        <v>1037106.517</v>
      </c>
      <c r="F11" s="148">
        <f>843993.687+198412.222</f>
        <v>1042405.909</v>
      </c>
      <c r="G11" s="148">
        <f>932270.707+204854.508</f>
        <v>1137125.2150000001</v>
      </c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>IF(C7="","",C10-C13)</f>
        <v>9.493454731809009E-2</v>
      </c>
      <c r="D12" s="149">
        <f>IF(D7="","",D10-D13)</f>
        <v>6.6954547698900579E-2</v>
      </c>
      <c r="E12" s="149">
        <f>IF(E7="","",E10-E13)</f>
        <v>4.2252676301759107E-2</v>
      </c>
      <c r="F12" s="149">
        <f>IF(F7="","",F10-F13)</f>
        <v>0.17707248872409326</v>
      </c>
      <c r="G12" s="149">
        <f>IF(G7="","",G10-G13)</f>
        <v>0.14196474729614711</v>
      </c>
      <c r="H12" s="149" t="str">
        <f t="shared" ref="H12:M12" si="3">IF(H7="","",H10-H13)</f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>IF(C14="","",C14/C7)</f>
        <v>0.35861540849193901</v>
      </c>
      <c r="D13" s="149">
        <f>IF(D14="","",D14/D7)</f>
        <v>0.46359821582296817</v>
      </c>
      <c r="E13" s="149">
        <f>IF(E14="","",E14/E7)</f>
        <v>0.50915925129591777</v>
      </c>
      <c r="F13" s="149">
        <f>IF(F14="","",F14/F7)</f>
        <v>0.40891725662183481</v>
      </c>
      <c r="G13" s="149">
        <f>IF(G14="","",G14/G7)</f>
        <v>0.41866407246573573</v>
      </c>
      <c r="H13" s="149" t="str">
        <f t="shared" ref="H13:M13" si="4">IF(H14="","",H14/H7)</f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>IF(C7="","",C7-C9-C11)</f>
        <v>4260811.9680000003</v>
      </c>
      <c r="D14" s="51">
        <f>IF(D7="","",D7-D9-D11)</f>
        <v>7210887.3150000004</v>
      </c>
      <c r="E14" s="51">
        <f>IF(E7="","",E7-E9-E11)</f>
        <v>12497489.482999999</v>
      </c>
      <c r="F14" s="51">
        <f>IF(F7="","",F7-F9-F11)</f>
        <v>2407250.091</v>
      </c>
      <c r="G14" s="51">
        <f>IF(G7="","",G7-G9-G11)</f>
        <v>3353462.62</v>
      </c>
      <c r="H14" s="51" t="str">
        <f t="shared" ref="H14:M14" si="5">IF(H7="","",H7-H9-H11)</f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-0.40911405464113815</v>
      </c>
      <c r="D15" s="149">
        <f t="shared" ref="D15:M15" si="6">IF(E14="","",IF(ABS(D14+E14)=ABS(D14)+ABS(E14),IF(D14&lt;0,-1,1)*(D14-E14)/E14,"Turn"))</f>
        <v>-0.42301313197272317</v>
      </c>
      <c r="E15" s="149">
        <f t="shared" si="6"/>
        <v>4.1916041169650118</v>
      </c>
      <c r="F15" s="149">
        <f t="shared" si="6"/>
        <v>-0.28215985571355501</v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3195608.9760000003</v>
      </c>
      <c r="D16" s="51">
        <f>IF(D14="","",D14*(1-Projections!$F$18))</f>
        <v>5408165.4862500001</v>
      </c>
      <c r="E16" s="51">
        <f>IF(E14="","",E14*(1-Projections!$F$18))</f>
        <v>9373117.1122500002</v>
      </c>
      <c r="F16" s="51">
        <f>IF(F14="","",F14*(1-Projections!$F$18))</f>
        <v>1805437.56825</v>
      </c>
      <c r="G16" s="51">
        <f>IF(G14="","",G14*(1-Projections!$F$18))</f>
        <v>2515096.9649999999</v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>IF(C7="","",C16/C7)</f>
        <v>0.26896155636895425</v>
      </c>
      <c r="D17" s="149">
        <f>IF(D7="","",D16/D7)</f>
        <v>0.34769866186722614</v>
      </c>
      <c r="E17" s="149">
        <f>IF(E7="","",E16/E7)</f>
        <v>0.38186943847193838</v>
      </c>
      <c r="F17" s="149">
        <f>IF(F7="","",F16/F7)</f>
        <v>0.30668794246637615</v>
      </c>
      <c r="G17" s="149">
        <f>IF(G7="","",G16/G7)</f>
        <v>0.31399805434930178</v>
      </c>
      <c r="H17" s="149" t="str">
        <f t="shared" ref="H17:M17" si="7">IF(H7="","",H16/H7)</f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95775.368000000002</v>
      </c>
      <c r="D18" s="148">
        <v>49197.794000000002</v>
      </c>
      <c r="E18" s="148">
        <v>39885</v>
      </c>
      <c r="F18" s="148">
        <v>137622.508</v>
      </c>
      <c r="G18" s="148">
        <v>134600.527</v>
      </c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5849379.3020000001</v>
      </c>
      <c r="D19" s="148">
        <v>5735396</v>
      </c>
      <c r="E19" s="148">
        <v>9646036</v>
      </c>
      <c r="F19" s="148">
        <v>1688050</v>
      </c>
      <c r="G19" s="148">
        <v>6914903.9340000004</v>
      </c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1.9873658593059684E-2</v>
      </c>
      <c r="D20" s="149">
        <f t="shared" ref="D20:M20" si="8">IF(E19="","",IF(ABS(D19+E19)=ABS(D19)+ABS(E19),IF(D19&lt;0,-1,1)*(D19-E19)/E19,"Turn"))</f>
        <v>-0.40541420330589684</v>
      </c>
      <c r="E20" s="149">
        <f t="shared" si="8"/>
        <v>4.7143070406682268</v>
      </c>
      <c r="F20" s="149">
        <f t="shared" si="8"/>
        <v>-0.75588236422201038</v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373</v>
      </c>
      <c r="C21" s="150">
        <f>Asset_Model!C49</f>
        <v>179271273.183</v>
      </c>
      <c r="D21" s="148">
        <v>178983875</v>
      </c>
      <c r="E21" s="148">
        <v>181715197</v>
      </c>
      <c r="F21" s="148">
        <v>186723801</v>
      </c>
      <c r="G21" s="148">
        <f>G22+106204235.953</f>
        <v>180748380.384</v>
      </c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f>Asset_Model!C28</f>
        <v>67642638.682000011</v>
      </c>
      <c r="D22" s="148">
        <v>71424985</v>
      </c>
      <c r="E22" s="148">
        <v>74808371</v>
      </c>
      <c r="F22" s="148">
        <v>80391448</v>
      </c>
      <c r="G22" s="148">
        <v>74544144.430999994</v>
      </c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f>Asset_Model!I28</f>
        <v>10902268.852</v>
      </c>
      <c r="D23" s="148">
        <v>15104618</v>
      </c>
      <c r="E23" s="148">
        <v>17965728</v>
      </c>
      <c r="F23" s="148">
        <v>32319376</v>
      </c>
      <c r="G23" s="148">
        <v>25385564.491</v>
      </c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f>Asset_Model!I24</f>
        <v>3672538.0279999999</v>
      </c>
      <c r="D24" s="148">
        <v>2284708</v>
      </c>
      <c r="E24" s="148">
        <v>2894189</v>
      </c>
      <c r="F24" s="148">
        <v>864027</v>
      </c>
      <c r="G24" s="148">
        <v>0</v>
      </c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f>Asset_Model!I12</f>
        <v>41018.313999999998</v>
      </c>
      <c r="D25" s="152">
        <v>31180</v>
      </c>
      <c r="E25" s="152">
        <v>49241</v>
      </c>
      <c r="F25" s="152">
        <v>32031</v>
      </c>
      <c r="G25" s="152">
        <v>0</v>
      </c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f>Asset_Model!I44</f>
        <v>2447343.9303310001</v>
      </c>
      <c r="D26" s="148">
        <v>2814396</v>
      </c>
      <c r="E26" s="148">
        <v>4131550</v>
      </c>
      <c r="F26" s="148">
        <v>6139127</v>
      </c>
      <c r="G26" s="148">
        <f>5026688.387+1622090.423+106579.069</f>
        <v>6755357.8790000007</v>
      </c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f>Asset_Model!I31</f>
        <v>15377.8</v>
      </c>
      <c r="D27" s="152">
        <v>13550</v>
      </c>
      <c r="E27" s="152">
        <v>19736</v>
      </c>
      <c r="F27" s="152">
        <v>7537</v>
      </c>
      <c r="G27" s="152">
        <v>0</v>
      </c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>IF(C7="","",C24+C26)</f>
        <v>6119881.9583310001</v>
      </c>
      <c r="D28" s="51">
        <f>IF(D7="","",D24+D26)</f>
        <v>5099104</v>
      </c>
      <c r="E28" s="51">
        <f>IF(E7="","",E24+E26)</f>
        <v>7025739</v>
      </c>
      <c r="F28" s="51">
        <f>IF(F7="","",F24+F26)</f>
        <v>7003154</v>
      </c>
      <c r="G28" s="51">
        <f>IF(G7="","",G24+G26)</f>
        <v>6755357.8790000007</v>
      </c>
      <c r="H28" s="51" t="str">
        <f t="shared" ref="H28:M28" si="9">IF(H7="","",H24+H26)</f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f>Asset_Model!D3</f>
        <v>163104843.49900001</v>
      </c>
      <c r="D29" s="148">
        <v>158228515</v>
      </c>
      <c r="E29" s="148">
        <v>156808599</v>
      </c>
      <c r="F29" s="148">
        <v>145759189</v>
      </c>
      <c r="G29" s="148">
        <v>146162104.36500001</v>
      </c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f>Asset_Model!I3</f>
        <v>162348812.058</v>
      </c>
      <c r="D30" s="152">
        <v>157397300</v>
      </c>
      <c r="E30" s="152">
        <v>155159697</v>
      </c>
      <c r="F30" s="152">
        <v>144915881</v>
      </c>
      <c r="G30" s="152">
        <v>145294012.75299999</v>
      </c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348</v>
      </c>
      <c r="C31" s="150">
        <f>Asset_Model!C38</f>
        <v>1318362.466</v>
      </c>
      <c r="D31" s="148">
        <v>1285288</v>
      </c>
      <c r="E31" s="148">
        <v>1376283</v>
      </c>
      <c r="F31" s="148">
        <v>1367290</v>
      </c>
      <c r="G31" s="148">
        <v>219236.88800000001</v>
      </c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f>Asset_Model!C62</f>
        <v>43932273.972000003</v>
      </c>
      <c r="D32" s="148">
        <v>17617776</v>
      </c>
      <c r="E32" s="148">
        <v>28578786</v>
      </c>
      <c r="F32" s="148">
        <v>23080979</v>
      </c>
      <c r="G32" s="148">
        <v>16439823.293</v>
      </c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412</v>
      </c>
      <c r="C33" s="161">
        <f>C31-D31+Projections!F22</f>
        <v>231234.52100000001</v>
      </c>
      <c r="D33" s="161">
        <v>1176000</v>
      </c>
      <c r="E33" s="161">
        <v>247000</v>
      </c>
      <c r="F33" s="161">
        <v>56000</v>
      </c>
      <c r="G33" s="161">
        <v>122438.804</v>
      </c>
      <c r="H33" s="161" t="str">
        <f t="shared" ref="H33:M33" si="10">IF(I7="","",H31-I31+IF($C$58="Yes",H60,0))</f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367</v>
      </c>
      <c r="C34" s="161">
        <v>0</v>
      </c>
      <c r="D34" s="161">
        <v>230000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0</v>
      </c>
      <c r="E35" s="154">
        <f>IF(F7="","",IF(E8&lt;0,0,(E7-F7)*Asset_Model!$D$68))</f>
        <v>2798768.55</v>
      </c>
      <c r="F35" s="154">
        <f>IF(G7="","",IF(F8&lt;0,0,(F7-G7)*Asset_Model!$D$68))</f>
        <v>0</v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>IF(D7="","",C33+C35)</f>
        <v>231234.52100000001</v>
      </c>
      <c r="D36" s="51">
        <f>IF(E7="","",D33+D35)</f>
        <v>1176000</v>
      </c>
      <c r="E36" s="51">
        <f>IF(F7="","",E33+E35)</f>
        <v>3045768.55</v>
      </c>
      <c r="F36" s="51">
        <f>IF(G7="","",F33+F35)</f>
        <v>56000</v>
      </c>
      <c r="G36" s="51" t="str">
        <f t="shared" ref="G36:M36" si="11">IF(H7="","",G33+G35)</f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340</v>
      </c>
      <c r="C37" s="149">
        <f>IF(C36="","",C33/C7)</f>
        <v>1.946207972298224E-2</v>
      </c>
      <c r="D37" s="149">
        <f>IF(D36="","",D33/D7)</f>
        <v>7.5606714956384061E-2</v>
      </c>
      <c r="E37" s="149">
        <f>IF(E36="","",E33/E7)</f>
        <v>1.00630078737944E-2</v>
      </c>
      <c r="F37" s="149">
        <f>IF(F36="","",F33/F7)</f>
        <v>9.5126661149320321E-3</v>
      </c>
      <c r="G37" s="149" t="str">
        <f>IF(G36="","",G33/G7)</f>
        <v/>
      </c>
      <c r="H37" s="149" t="str">
        <f t="shared" ref="H37:M37" si="12">IF(H36="","",H33/H7)</f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342</v>
      </c>
      <c r="C38" s="158">
        <f t="shared" ref="C38:M38" si="13">IF(C36="","",C33/C16)</f>
        <v>7.2360079952410297E-2</v>
      </c>
      <c r="D38" s="158">
        <f t="shared" si="13"/>
        <v>0.2174489673050729</v>
      </c>
      <c r="E38" s="158">
        <f t="shared" si="13"/>
        <v>2.6351959229997082E-2</v>
      </c>
      <c r="F38" s="158">
        <f t="shared" si="13"/>
        <v>3.1017411504447905E-2</v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f>0.43*Common_Shares/C4</f>
        <v>3513908.3724799999</v>
      </c>
      <c r="D40" s="163">
        <v>3053687</v>
      </c>
      <c r="E40" s="163">
        <v>508443</v>
      </c>
      <c r="F40" s="163">
        <v>1287845</v>
      </c>
      <c r="G40" s="163">
        <v>822878.94</v>
      </c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>
        <v>0</v>
      </c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0.43</v>
      </c>
      <c r="D42" s="162">
        <f t="shared" si="14"/>
        <v>0.37368231348424941</v>
      </c>
      <c r="E42" s="162">
        <f t="shared" si="14"/>
        <v>6.2218608690043288E-2</v>
      </c>
      <c r="F42" s="162">
        <f t="shared" si="14"/>
        <v>0.15759470404436446</v>
      </c>
      <c r="G42" s="162">
        <f t="shared" si="14"/>
        <v>0.10069640602218462</v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>
        <f t="shared" si="15"/>
        <v>0</v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357</v>
      </c>
      <c r="C45" s="166">
        <f>IF(C30="","",(C21-C30)/C21)</f>
        <v>9.4395832776429059E-2</v>
      </c>
      <c r="D45" s="166">
        <f>IF(D30="","",(D21-D30)/D21)</f>
        <v>0.12060625573113778</v>
      </c>
      <c r="E45" s="166">
        <f t="shared" ref="E45:M45" si="16">IF(E30="","",(E21-E30)/E21)</f>
        <v>0.14613802498863096</v>
      </c>
      <c r="F45" s="166">
        <f t="shared" si="16"/>
        <v>0.22390246865208147</v>
      </c>
      <c r="G45" s="166">
        <f t="shared" si="16"/>
        <v>0.19615316914971628</v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369</v>
      </c>
      <c r="C46" s="149">
        <f t="shared" ref="C46:M46" si="17">IF(C30="","",C28/C30)</f>
        <v>3.7695883824173833E-2</v>
      </c>
      <c r="D46" s="149">
        <f t="shared" si="17"/>
        <v>3.2396387993949068E-2</v>
      </c>
      <c r="E46" s="149">
        <f t="shared" si="17"/>
        <v>4.5280695540414723E-2</v>
      </c>
      <c r="F46" s="149">
        <f t="shared" si="17"/>
        <v>4.8325649001850941E-2</v>
      </c>
      <c r="G46" s="149">
        <f t="shared" si="17"/>
        <v>4.6494399535128246E-2</v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0.69622453455981348</v>
      </c>
      <c r="D47" s="165">
        <f t="shared" si="18"/>
        <v>1.4141479199090665</v>
      </c>
      <c r="E47" s="165">
        <f t="shared" si="18"/>
        <v>1.778814937901906</v>
      </c>
      <c r="F47" s="165">
        <f t="shared" si="18"/>
        <v>0.34373799162491642</v>
      </c>
      <c r="G47" s="165">
        <f t="shared" si="18"/>
        <v>0.4964152425476554</v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2.2478196343631747E-2</v>
      </c>
      <c r="D48" s="149">
        <f>IF(D14="","",IF(D18&lt;=0,"-",D18/D14))</f>
        <v>6.8227101396605306E-3</v>
      </c>
      <c r="E48" s="149">
        <f t="shared" ref="E48:M48" si="19">IF(E14="","",IF(E18&lt;=0,"-",E18/E14))</f>
        <v>3.1914409733454466E-3</v>
      </c>
      <c r="F48" s="149">
        <f t="shared" si="19"/>
        <v>5.7170008431832689E-2</v>
      </c>
      <c r="G48" s="149">
        <f t="shared" si="19"/>
        <v>4.0137774668262141E-2</v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6.2044552010466241</v>
      </c>
      <c r="D49" s="167">
        <f t="shared" si="20"/>
        <v>4.7286852934645554</v>
      </c>
      <c r="E49" s="167">
        <f t="shared" si="20"/>
        <v>4.1639487695683695</v>
      </c>
      <c r="F49" s="167">
        <f t="shared" si="20"/>
        <v>2.4874071826139219</v>
      </c>
      <c r="G49" s="167">
        <f t="shared" si="20"/>
        <v>2.9364777158068827</v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0.35861540849193901</v>
      </c>
      <c r="D51" s="166">
        <f t="shared" si="21"/>
        <v>0.46359821582296817</v>
      </c>
      <c r="E51" s="166">
        <f t="shared" si="21"/>
        <v>0.50915925129591777</v>
      </c>
      <c r="F51" s="166">
        <f t="shared" si="21"/>
        <v>0.40891725662183481</v>
      </c>
      <c r="G51" s="166">
        <f t="shared" si="21"/>
        <v>0.41866407246573573</v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6.6275455359050148E-2</v>
      </c>
      <c r="D52" s="149">
        <f>IF(D7="","",D7/D21)</f>
        <v>8.6902655336968199E-2</v>
      </c>
      <c r="E52" s="149">
        <f>IF(E7="","",E7/E21)</f>
        <v>0.13507590672231998</v>
      </c>
      <c r="F52" s="149">
        <f>IF(F7="","",F7/F21)</f>
        <v>3.1527250240583955E-2</v>
      </c>
      <c r="G52" s="149">
        <f>IF(G7="","",G7/G21)</f>
        <v>4.4315266122899342E-2</v>
      </c>
      <c r="H52" s="149" t="str">
        <f t="shared" ref="H52:M52" si="22">IF(H7="","",H7/H21)</f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375</v>
      </c>
      <c r="C53" s="168">
        <f>C21/C29</f>
        <v>1.0991167971299338</v>
      </c>
      <c r="D53" s="168">
        <f>IF(D29="","",D21/D29)</f>
        <v>1.131173322330681</v>
      </c>
      <c r="E53" s="168">
        <f t="shared" ref="E53:M53" si="23">IF(E29="","",E21/E29)</f>
        <v>1.1588343889227657</v>
      </c>
      <c r="F53" s="168">
        <f t="shared" si="23"/>
        <v>1.2810430840144151</v>
      </c>
      <c r="G53" s="168">
        <f t="shared" si="23"/>
        <v>1.236629570771848</v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374</v>
      </c>
      <c r="C54" s="149">
        <f>C51*C52*C53</f>
        <v>2.6123148010783154E-2</v>
      </c>
      <c r="D54" s="149">
        <f>IF(D51="","",D51*D52*D53)</f>
        <v>4.5572615751339134E-2</v>
      </c>
      <c r="E54" s="149">
        <f t="shared" ref="E54:M54" si="24">IF(E51="","",E51*E52*E53)</f>
        <v>7.9699006066625208E-2</v>
      </c>
      <c r="F54" s="149">
        <f t="shared" si="24"/>
        <v>1.6515254424199634E-2</v>
      </c>
      <c r="G54" s="149">
        <f t="shared" si="24"/>
        <v>2.2943447855852166E-2</v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1.8902730786689171E-3</v>
      </c>
      <c r="D55" s="158">
        <f>IF(D38="","",D38*D54)</f>
        <v>9.9097182325195935E-3</v>
      </c>
      <c r="E55" s="158">
        <f t="shared" ref="E55:M55" si="25">IF(E38="","",E38*E54)</f>
        <v>2.1002249585389977E-3</v>
      </c>
      <c r="F55" s="158">
        <f t="shared" si="25"/>
        <v>5.1226044257605388E-4</v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339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>IF(C60="","",C60/C7)</f>
        <v>0</v>
      </c>
      <c r="D61" s="173">
        <f>IF(D60="","",D60/D7)</f>
        <v>0</v>
      </c>
      <c r="E61" s="173">
        <f>IF(E60="","",E60/E7)</f>
        <v>0</v>
      </c>
      <c r="F61" s="173" t="str">
        <f>IF(F60="","",F60/F7)</f>
        <v/>
      </c>
      <c r="G61" s="173" t="str">
        <f>IF(G60="","",G60/G7)</f>
        <v/>
      </c>
      <c r="H61" s="173" t="str">
        <f t="shared" ref="H61:M61" si="26">IF(H60="","",H60/H7)</f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disablePrompts="1"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7" zoomScaleNormal="100" workbookViewId="0">
      <selection activeCell="F20" sqref="F2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163104843.49900001</v>
      </c>
      <c r="E3" s="191" t="str">
        <f>IF((C49-I49)=D3,"", "Error!")</f>
        <v/>
      </c>
      <c r="F3" s="6"/>
      <c r="G3" s="6"/>
      <c r="H3" s="112" t="s">
        <v>216</v>
      </c>
      <c r="I3" s="163">
        <v>162348812.058</v>
      </c>
      <c r="K3" s="43"/>
    </row>
    <row r="4" spans="1:11" ht="15" customHeight="1">
      <c r="B4" s="5" t="s">
        <v>193</v>
      </c>
      <c r="C4" s="6"/>
      <c r="D4" s="186">
        <f>D3-I3</f>
        <v>756031.44100001454</v>
      </c>
      <c r="E4" s="90"/>
      <c r="F4" s="6"/>
      <c r="G4" s="6"/>
      <c r="H4" s="38" t="s">
        <v>71</v>
      </c>
      <c r="I4" s="139">
        <f>(I3*Dashboard!I12*Data!C4)/Dashboard!I5</f>
        <v>19.86676423656159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103536417.87765998</v>
      </c>
      <c r="E6" s="149">
        <f>1-D6/D3</f>
        <v>0.36521555303601538</v>
      </c>
      <c r="F6" s="6"/>
      <c r="G6" s="6"/>
      <c r="H6" s="3" t="s">
        <v>257</v>
      </c>
      <c r="I6" s="184">
        <f>C28/I28</f>
        <v>6.2044552010466241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12.669840806341966</v>
      </c>
      <c r="E7" s="18" t="str">
        <f>Dashboard!J4</f>
        <v>HKD</v>
      </c>
      <c r="H7" s="3" t="s">
        <v>258</v>
      </c>
      <c r="I7" s="184">
        <f>C25/I28</f>
        <v>0.66510052636151962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4.0304207488828494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413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2792975.93</v>
      </c>
      <c r="D11" s="180">
        <v>1</v>
      </c>
      <c r="E11" s="51">
        <f t="shared" ref="E11:E21" si="0">C11*D11</f>
        <v>2792975.93</v>
      </c>
      <c r="F11" s="6"/>
      <c r="G11" s="6"/>
      <c r="H11" s="5" t="s">
        <v>79</v>
      </c>
      <c r="I11" s="179">
        <v>1132532</v>
      </c>
      <c r="J11" s="6"/>
      <c r="K11" s="43"/>
    </row>
    <row r="12" spans="1:11" ht="14">
      <c r="B12" s="3" t="s">
        <v>80</v>
      </c>
      <c r="C12" s="179">
        <v>41139298.042000003</v>
      </c>
      <c r="D12" s="180">
        <v>0.98</v>
      </c>
      <c r="E12" s="51">
        <f t="shared" si="0"/>
        <v>40316512.081160001</v>
      </c>
      <c r="F12" s="6"/>
      <c r="G12" s="6"/>
      <c r="H12" s="5" t="s">
        <v>81</v>
      </c>
      <c r="I12" s="179">
        <v>41018.313999999998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f>827476.708+1671511.006</f>
        <v>2498987.7140000002</v>
      </c>
      <c r="J13" s="6"/>
      <c r="K13" s="45"/>
    </row>
    <row r="14" spans="1:11" ht="14">
      <c r="B14" s="5" t="s">
        <v>84</v>
      </c>
      <c r="C14" s="179">
        <v>8456.6190000000006</v>
      </c>
      <c r="D14" s="180">
        <v>0.6</v>
      </c>
      <c r="E14" s="51">
        <f t="shared" si="0"/>
        <v>5073.9714000000004</v>
      </c>
      <c r="F14" s="6"/>
      <c r="G14" s="6"/>
      <c r="H14" s="6" t="s">
        <v>346</v>
      </c>
      <c r="I14" s="179">
        <v>0</v>
      </c>
      <c r="J14" s="6"/>
      <c r="K14" s="47"/>
    </row>
    <row r="15" spans="1:11" ht="14">
      <c r="B15" s="5" t="s">
        <v>86</v>
      </c>
      <c r="C15" s="179">
        <v>0</v>
      </c>
      <c r="D15" s="180">
        <v>0.8</v>
      </c>
      <c r="E15" s="51">
        <f t="shared" si="0"/>
        <v>0</v>
      </c>
      <c r="F15" s="6"/>
      <c r="G15" s="6"/>
      <c r="H15" s="5" t="s">
        <v>87</v>
      </c>
      <c r="I15" s="130">
        <f>I28-SUM(I11:I14)</f>
        <v>7229730.824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345</v>
      </c>
      <c r="C17" s="179">
        <f>109511.988+1757222.03+31752.493+3096175.528+2256442.713</f>
        <v>7251104.7520000003</v>
      </c>
      <c r="D17" s="180">
        <v>0.7</v>
      </c>
      <c r="E17" s="51">
        <f t="shared" si="0"/>
        <v>5075773.3263999997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8995.232</v>
      </c>
      <c r="D18" s="180">
        <v>0.6</v>
      </c>
      <c r="E18" s="51">
        <f t="shared" si="0"/>
        <v>5397.1391999999996</v>
      </c>
      <c r="F18" s="6"/>
      <c r="G18" s="6"/>
      <c r="H18" s="6"/>
      <c r="I18" s="6"/>
    </row>
    <row r="19" spans="2:10" ht="14">
      <c r="B19" s="3" t="s">
        <v>89</v>
      </c>
      <c r="C19" s="179">
        <v>6947403.7850000001</v>
      </c>
      <c r="D19" s="180">
        <v>0.6</v>
      </c>
      <c r="E19" s="51">
        <f t="shared" si="0"/>
        <v>4168442.2709999997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9433372.8080000002</v>
      </c>
      <c r="D20" s="180">
        <v>0.45</v>
      </c>
      <c r="E20" s="51">
        <f t="shared" si="0"/>
        <v>4245017.7636000002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61031.514000000003</v>
      </c>
      <c r="D21" s="180">
        <v>0.95</v>
      </c>
      <c r="E21" s="51">
        <f t="shared" si="0"/>
        <v>57979.938300000002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386</v>
      </c>
      <c r="G23" s="6"/>
      <c r="H23" s="6"/>
      <c r="I23" s="6"/>
    </row>
    <row r="24" spans="2:10" ht="15" customHeight="1">
      <c r="B24" s="41" t="s">
        <v>376</v>
      </c>
      <c r="C24" s="182">
        <f>SUM(C11:C14)</f>
        <v>43940730.591000006</v>
      </c>
      <c r="D24" s="183">
        <f>IF(E24=0,0,E24/C24)</f>
        <v>0.98119811397470891</v>
      </c>
      <c r="E24" s="51">
        <f>SUM(E11:E14)</f>
        <v>43114561.982560001</v>
      </c>
      <c r="F24" s="233">
        <f>E24/$E$28</f>
        <v>0.76083842091504728</v>
      </c>
      <c r="G24" s="6"/>
      <c r="H24" s="3" t="s">
        <v>384</v>
      </c>
      <c r="I24" s="312">
        <f>I11+I12+I13</f>
        <v>3672538.0279999999</v>
      </c>
    </row>
    <row r="25" spans="2:10" ht="15" customHeight="1">
      <c r="B25" s="41" t="s">
        <v>380</v>
      </c>
      <c r="C25" s="182">
        <f>SUM(C15:C17)</f>
        <v>7251104.7520000003</v>
      </c>
      <c r="D25" s="183">
        <f>IF(E25=0,0,E25/C25)</f>
        <v>0.7</v>
      </c>
      <c r="E25" s="51">
        <f>SUM(E15:E17)</f>
        <v>5075773.3263999997</v>
      </c>
      <c r="F25" s="233">
        <f t="shared" ref="F25:F27" si="2">E25/$E$28</f>
        <v>8.957167103177395E-2</v>
      </c>
      <c r="G25" s="6"/>
      <c r="H25" s="41" t="s">
        <v>387</v>
      </c>
      <c r="I25" s="184">
        <f>E28/I28</f>
        <v>5.1977412399497478</v>
      </c>
    </row>
    <row r="26" spans="2:10" ht="15" customHeight="1">
      <c r="B26" s="41" t="s">
        <v>378</v>
      </c>
      <c r="C26" s="182">
        <f>C18+C19+C20</f>
        <v>16389771.824999999</v>
      </c>
      <c r="D26" s="183">
        <f t="shared" ref="D26:D27" si="3">IF(E26=0,0,E26/C26)</f>
        <v>0.51366530685670475</v>
      </c>
      <c r="E26" s="51">
        <f>E18+E19+E20</f>
        <v>8418857.1737999991</v>
      </c>
      <c r="F26" s="233">
        <f t="shared" si="2"/>
        <v>0.14856674180325227</v>
      </c>
      <c r="G26" s="6"/>
      <c r="H26" s="41" t="s">
        <v>260</v>
      </c>
      <c r="I26" s="184">
        <f>E24/($I$28-I15)</f>
        <v>11.73971832390785</v>
      </c>
      <c r="J26" s="13" t="str">
        <f>IF(I26&lt;1,"Liquidity Problem!","")</f>
        <v/>
      </c>
    </row>
    <row r="27" spans="2:10" ht="15" customHeight="1">
      <c r="B27" s="41" t="s">
        <v>379</v>
      </c>
      <c r="C27" s="305">
        <f>C21+C22</f>
        <v>61031.514000000003</v>
      </c>
      <c r="D27" s="183">
        <f t="shared" si="3"/>
        <v>0.95</v>
      </c>
      <c r="E27" s="51">
        <f>E21+E22</f>
        <v>57979.938300000002</v>
      </c>
      <c r="F27" s="233">
        <f t="shared" si="2"/>
        <v>1.0231662499265999E-3</v>
      </c>
      <c r="G27" s="6"/>
      <c r="H27" s="41" t="s">
        <v>264</v>
      </c>
      <c r="I27" s="184">
        <f>(E25+E24)/$I$28</f>
        <v>4.4202116057814491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67642638.682000011</v>
      </c>
      <c r="D28" s="166">
        <f t="shared" ref="D28" si="4">E28/C28</f>
        <v>0.83774337496593498</v>
      </c>
      <c r="E28" s="212">
        <f>SUM(E24:E27)</f>
        <v>56667172.421059996</v>
      </c>
      <c r="F28" s="6"/>
      <c r="G28" s="6"/>
      <c r="H28" s="306" t="s">
        <v>53</v>
      </c>
      <c r="I28" s="190">
        <v>10902268.852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831996</v>
      </c>
      <c r="J30" s="6"/>
    </row>
    <row r="31" spans="2:10" ht="15" customHeight="1">
      <c r="B31" s="5" t="s">
        <v>96</v>
      </c>
      <c r="C31" s="179">
        <v>1192311.834</v>
      </c>
      <c r="D31" s="180">
        <v>0.6</v>
      </c>
      <c r="E31" s="51">
        <f t="shared" ref="E31:E42" si="5">C31*D31</f>
        <v>715387.1004</v>
      </c>
      <c r="F31" s="6"/>
      <c r="G31" s="6"/>
      <c r="H31" s="5" t="s">
        <v>97</v>
      </c>
      <c r="I31" s="179">
        <v>15377.8</v>
      </c>
      <c r="J31" s="6"/>
    </row>
    <row r="32" spans="2:10" ht="15" customHeight="1">
      <c r="B32" s="5" t="s">
        <v>98</v>
      </c>
      <c r="C32" s="179">
        <v>0</v>
      </c>
      <c r="D32" s="180">
        <v>0</v>
      </c>
      <c r="E32" s="51">
        <f t="shared" si="5"/>
        <v>0</v>
      </c>
      <c r="F32" s="6"/>
      <c r="G32" s="6"/>
      <c r="H32" s="5" t="s">
        <v>100</v>
      </c>
      <c r="I32" s="179">
        <f>1599837.513+132.617331</f>
        <v>1599970.1303310001</v>
      </c>
      <c r="J32" s="6"/>
    </row>
    <row r="33" spans="2:10" ht="14">
      <c r="B33" s="3" t="s">
        <v>99</v>
      </c>
      <c r="C33" s="179">
        <v>0</v>
      </c>
      <c r="D33" s="180">
        <v>0.3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347</v>
      </c>
      <c r="I33" s="179">
        <v>0</v>
      </c>
      <c r="J33" s="6"/>
    </row>
    <row r="34" spans="2:10" ht="14">
      <c r="B34" s="5" t="s">
        <v>101</v>
      </c>
      <c r="C34" s="179">
        <f>3995171.299+10433170.434+3438924.798</f>
        <v>17867266.530999999</v>
      </c>
      <c r="D34" s="180">
        <v>0.7</v>
      </c>
      <c r="E34" s="51">
        <f t="shared" si="5"/>
        <v>12507086.571699999</v>
      </c>
      <c r="F34" s="6"/>
      <c r="G34" s="6"/>
      <c r="H34" s="5" t="s">
        <v>102</v>
      </c>
      <c r="I34" s="130">
        <f>I48-SUM(I30:I33)</f>
        <v>2816816.9016690003</v>
      </c>
      <c r="J34" s="6"/>
    </row>
    <row r="35" spans="2:10" ht="14">
      <c r="B35" s="5" t="s">
        <v>103</v>
      </c>
      <c r="C35" s="179">
        <f>17076647.976+6478483.281</f>
        <v>23555131.256999999</v>
      </c>
      <c r="D35" s="180">
        <v>0.4</v>
      </c>
      <c r="E35" s="51">
        <f t="shared" si="5"/>
        <v>9422052.5028000008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f>66006682.723+1680928.34</f>
        <v>67687611.062999994</v>
      </c>
      <c r="D36" s="180">
        <v>0.6</v>
      </c>
      <c r="E36" s="51">
        <f t="shared" si="5"/>
        <v>40612566.637799993</v>
      </c>
      <c r="F36" s="181" t="s">
        <v>203</v>
      </c>
      <c r="G36" s="58">
        <f>IF(F36="Y",0,1)</f>
        <v>0</v>
      </c>
      <c r="H36" s="6"/>
      <c r="I36" s="6"/>
    </row>
    <row r="37" spans="2:10" ht="14">
      <c r="B37" s="3" t="s">
        <v>90</v>
      </c>
      <c r="C37" s="179">
        <v>0</v>
      </c>
      <c r="D37" s="180">
        <v>0.45</v>
      </c>
      <c r="E37" s="51">
        <f>C37*D37</f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141849.478+1176512.988</f>
        <v>1318362.466</v>
      </c>
      <c r="D38" s="180">
        <v>0.4</v>
      </c>
      <c r="E38" s="51">
        <f t="shared" si="5"/>
        <v>527344.98640000005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0</v>
      </c>
      <c r="D40" s="180">
        <v>0.1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7651.35</v>
      </c>
      <c r="D41" s="180">
        <v>0.95</v>
      </c>
      <c r="E41" s="51">
        <f t="shared" si="5"/>
        <v>7268.7825000000003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300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377</v>
      </c>
      <c r="C44" s="182">
        <f>SUM(C30:C31)</f>
        <v>1192311.834</v>
      </c>
      <c r="D44" s="183">
        <f>IF(E44=0,0,E44/C44)</f>
        <v>0.6</v>
      </c>
      <c r="E44" s="51">
        <f>SUM(E30:E31)</f>
        <v>715387.1004</v>
      </c>
      <c r="F44" s="233"/>
      <c r="G44" s="6"/>
      <c r="H44" s="3" t="s">
        <v>385</v>
      </c>
      <c r="I44" s="312">
        <f>I30+I31+I32</f>
        <v>2447343.9303310001</v>
      </c>
    </row>
    <row r="45" spans="2:10" ht="15" customHeight="1">
      <c r="B45" s="41" t="s">
        <v>381</v>
      </c>
      <c r="C45" s="182">
        <f>SUM(C32:C35)</f>
        <v>41422397.788000003</v>
      </c>
      <c r="D45" s="183">
        <f>IF(E45=0,0,E45/C45)</f>
        <v>0.52940293767476776</v>
      </c>
      <c r="E45" s="51">
        <f>SUM(E32:E35)</f>
        <v>21929139.074500002</v>
      </c>
      <c r="F45" s="233"/>
      <c r="G45" s="6"/>
    </row>
    <row r="46" spans="2:10" ht="15" customHeight="1">
      <c r="B46" s="41" t="s">
        <v>382</v>
      </c>
      <c r="C46" s="182">
        <f>C36+C37+C38+C39</f>
        <v>69005973.528999999</v>
      </c>
      <c r="D46" s="183">
        <f t="shared" ref="D46:D47" si="6">IF(E46=0,0,E46/C46)</f>
        <v>0.59617899031466892</v>
      </c>
      <c r="E46" s="51">
        <f>E36+E37+E38+E39</f>
        <v>41139911.624199994</v>
      </c>
      <c r="F46" s="6"/>
      <c r="G46" s="6"/>
      <c r="H46" s="41" t="s">
        <v>261</v>
      </c>
      <c r="I46" s="184">
        <f>(E44+E24)/D55</f>
        <v>7.1618945236834604</v>
      </c>
      <c r="J46" s="13" t="str">
        <f>IF(I46&lt;1,"Liquidity Problem!","")</f>
        <v/>
      </c>
    </row>
    <row r="47" spans="2:10" ht="15" customHeight="1">
      <c r="B47" s="41" t="s">
        <v>383</v>
      </c>
      <c r="C47" s="182">
        <f>C40+C41+C42</f>
        <v>7951.35</v>
      </c>
      <c r="D47" s="183">
        <f t="shared" si="6"/>
        <v>0.91415702993831238</v>
      </c>
      <c r="E47" s="51">
        <f>E40+E41+E42</f>
        <v>7268.7825000000003</v>
      </c>
      <c r="F47" s="6"/>
      <c r="G47" s="6"/>
      <c r="H47" s="41" t="s">
        <v>265</v>
      </c>
      <c r="I47" s="184">
        <f>(E44+E45+E24+E25)/$I$49</f>
        <v>4.3816020524287831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111628634.50099999</v>
      </c>
      <c r="D48" s="310">
        <f>E48/C48</f>
        <v>0.57146364700025543</v>
      </c>
      <c r="E48" s="304">
        <f>SUM(E30:E42)</f>
        <v>63791706.581599995</v>
      </c>
      <c r="F48" s="6"/>
      <c r="G48" s="6"/>
      <c r="H48" s="308" t="s">
        <v>109</v>
      </c>
      <c r="I48" s="311">
        <v>5264160.8320000004</v>
      </c>
      <c r="J48" s="13"/>
    </row>
    <row r="49" spans="2:10" ht="15" customHeight="1" thickTop="1">
      <c r="B49" s="5" t="s">
        <v>373</v>
      </c>
      <c r="C49" s="182">
        <f>SUM(C44:C47)+C28</f>
        <v>179271273.183</v>
      </c>
      <c r="D49" s="149">
        <f>E49/C49</f>
        <v>0.67193631675553311</v>
      </c>
      <c r="E49" s="51">
        <f>E28+E48</f>
        <v>120458879.00265999</v>
      </c>
      <c r="F49" s="6"/>
      <c r="G49" s="6"/>
      <c r="H49" s="5" t="s">
        <v>262</v>
      </c>
      <c r="I49" s="130">
        <f>I28+I48</f>
        <v>16166429.684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756031.44100001454</v>
      </c>
      <c r="D53" s="54">
        <f>IF(E53=0, 0,E53/C53)</f>
        <v>1</v>
      </c>
      <c r="E53" s="51">
        <f>MAX(C53,C53*Dashboard!I10)</f>
        <v>756031.44100001454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6119881.9583310001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50">
        <f>SUM(I11:I13)+SUM(I30:I32)</f>
        <v>6119881.9583310001</v>
      </c>
      <c r="E56" s="381"/>
      <c r="F56" s="5"/>
      <c r="G56" s="5"/>
      <c r="H56" s="6" t="s">
        <v>263</v>
      </c>
      <c r="I56" s="149">
        <f>D56/I3</f>
        <v>3.7695883824173833E-2</v>
      </c>
    </row>
    <row r="57" spans="2:10" ht="14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344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24755899.710000001</v>
      </c>
      <c r="D61" s="149">
        <f>IF(E61=0,0,E61/C61)</f>
        <v>0.40970086700193697</v>
      </c>
      <c r="E61" s="130">
        <f>E14+E15+(E19*G19)+(E20*G20)+E31+E32+(E33*G33)+(E35*G35)+(E36*G36)+(E37*G37)</f>
        <v>10142513.5746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43932273.972000003</v>
      </c>
      <c r="D62" s="54">
        <f>IF(E62=0,0,E62/C62)</f>
        <v>0.98127149162903793</v>
      </c>
      <c r="E62" s="182">
        <f>E11+E12+E30</f>
        <v>43109488.011160001</v>
      </c>
      <c r="F62" s="6"/>
      <c r="G62" s="6"/>
      <c r="H62" s="6"/>
      <c r="I62" s="6"/>
    </row>
    <row r="63" spans="2:10" ht="14">
      <c r="B63" s="32" t="s">
        <v>116</v>
      </c>
      <c r="C63" s="6"/>
      <c r="D63" s="350">
        <f>((Dashboard!I6*Data!C4)+D55+E53-C61-C62)</f>
        <v>11898096.740051009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1.077294160999559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8.5599999999999996E-2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0.15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zoomScaleNormal="100" zoomScalePageLayoutView="80" workbookViewId="0">
      <selection activeCell="C4" sqref="C4:G4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44012</v>
      </c>
      <c r="D3" s="194">
        <f>EOMONTH(EDATE(E3,-12),0)</f>
        <v>44377</v>
      </c>
      <c r="E3" s="194">
        <f>EOMONTH(EDATE(F3,-12),0)</f>
        <v>44742</v>
      </c>
      <c r="F3" s="194">
        <f>Dashboard!E6</f>
        <v>45107</v>
      </c>
      <c r="G3" s="194">
        <f>EOMONTH(EDATE(F3,12),0)</f>
        <v>45473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405</v>
      </c>
      <c r="C4" s="205">
        <v>863945.24399999995</v>
      </c>
      <c r="D4" s="205">
        <v>20223985.583999999</v>
      </c>
      <c r="E4" s="205">
        <v>11129690.461999999</v>
      </c>
      <c r="F4" s="205">
        <v>6996333.7800000003</v>
      </c>
      <c r="G4" s="205">
        <f>F4*0.8</f>
        <v>5597067.0240000002</v>
      </c>
      <c r="H4" s="206"/>
      <c r="I4" s="206"/>
      <c r="J4" s="6"/>
      <c r="K4" s="43"/>
      <c r="L4" s="36"/>
    </row>
    <row r="5" spans="1:12" ht="15.75" customHeight="1">
      <c r="B5" s="118" t="s">
        <v>406</v>
      </c>
      <c r="C5" s="196">
        <v>1146927.916</v>
      </c>
      <c r="D5" s="196">
        <v>1152340.1059999999</v>
      </c>
      <c r="E5" s="196">
        <v>1147617.763</v>
      </c>
      <c r="F5" s="196">
        <v>1175707.9029999999</v>
      </c>
      <c r="G5" s="196">
        <f>F5*1.02</f>
        <v>1199222.06106</v>
      </c>
      <c r="H5" s="197"/>
      <c r="I5" s="197"/>
      <c r="J5" s="6"/>
      <c r="K5" s="43"/>
      <c r="L5" s="36"/>
    </row>
    <row r="6" spans="1:12" ht="15.75" customHeight="1">
      <c r="B6" s="118" t="s">
        <v>407</v>
      </c>
      <c r="C6" s="196">
        <v>611302.96900000004</v>
      </c>
      <c r="D6" s="196">
        <v>262690.71899999998</v>
      </c>
      <c r="E6" s="196">
        <v>451993.272</v>
      </c>
      <c r="F6" s="196">
        <v>876597.36100000003</v>
      </c>
      <c r="G6" s="196">
        <f>F6*1.05</f>
        <v>920427.22905000008</v>
      </c>
      <c r="H6" s="197"/>
      <c r="I6" s="197"/>
      <c r="J6" s="6"/>
      <c r="K6" s="43"/>
      <c r="L6" s="36"/>
    </row>
    <row r="7" spans="1:12" ht="15.75" customHeight="1">
      <c r="B7" s="118" t="s">
        <v>408</v>
      </c>
      <c r="C7" s="196">
        <v>3161890.2179999999</v>
      </c>
      <c r="D7" s="196">
        <v>2818981.3330000001</v>
      </c>
      <c r="E7" s="196">
        <v>2738482.4139999999</v>
      </c>
      <c r="F7" s="196">
        <f>2746385.167</f>
        <v>2746385.1669999999</v>
      </c>
      <c r="G7" s="196">
        <f>F7*0.95</f>
        <v>2609065.9086499996</v>
      </c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SUM(C4:C7)</f>
        <v>5784066.3469999991</v>
      </c>
      <c r="D8" s="198">
        <f>SUM(D4:D7)</f>
        <v>24457997.741999999</v>
      </c>
      <c r="E8" s="198">
        <f>SUM(E4:E7)</f>
        <v>15467783.910999998</v>
      </c>
      <c r="F8" s="198">
        <f>SUM(F4:F7)</f>
        <v>11795024.210999999</v>
      </c>
      <c r="G8" s="200">
        <f>SUM(G4:G7)</f>
        <v>10325782.222759999</v>
      </c>
      <c r="H8" s="200"/>
      <c r="I8" s="201"/>
      <c r="J8" s="6"/>
      <c r="K8" s="43"/>
      <c r="L8" s="36"/>
    </row>
    <row r="9" spans="1:12" ht="15.75" customHeight="1">
      <c r="B9" s="14" t="s">
        <v>351</v>
      </c>
      <c r="C9" s="285"/>
      <c r="D9" s="171">
        <f>D8/C8-1</f>
        <v>3.2285126543691085</v>
      </c>
      <c r="E9" s="171">
        <f>E8/D8-1</f>
        <v>-0.36757767033242217</v>
      </c>
      <c r="F9" s="171">
        <f>Data!C8</f>
        <v>-0.23613524813339493</v>
      </c>
      <c r="G9" s="149">
        <f>G8/F8-1</f>
        <v>-0.12456455891542717</v>
      </c>
      <c r="H9" s="149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2437232</v>
      </c>
      <c r="D10" s="202">
        <f>Data!E9</f>
        <v>11010749</v>
      </c>
      <c r="E10" s="202">
        <f>Data!D9</f>
        <v>7301864</v>
      </c>
      <c r="F10" s="202">
        <f>Data!C9</f>
        <v>6492528.8569999998</v>
      </c>
      <c r="G10" s="203">
        <f>G8*(1-G11)</f>
        <v>6195469.333655999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0.57863000633384676</v>
      </c>
      <c r="D11" s="96">
        <f t="shared" si="0"/>
        <v>0.54980987748265198</v>
      </c>
      <c r="E11" s="96">
        <f t="shared" si="0"/>
        <v>0.52793082434987726</v>
      </c>
      <c r="F11" s="96">
        <f>(F8-F10)/F8</f>
        <v>0.44955357947081703</v>
      </c>
      <c r="G11" s="208">
        <v>0.4</v>
      </c>
      <c r="H11" s="208"/>
      <c r="I11" s="208"/>
      <c r="J11" s="6"/>
      <c r="K11" s="43"/>
    </row>
    <row r="12" spans="1:12" ht="15.75" customHeight="1">
      <c r="B12" s="5" t="s">
        <v>350</v>
      </c>
      <c r="C12" s="51">
        <f>C8-C10</f>
        <v>3346834.3469999991</v>
      </c>
      <c r="D12" s="51">
        <f t="shared" ref="D12:E12" si="1">D8-D10</f>
        <v>13447248.741999999</v>
      </c>
      <c r="E12" s="51">
        <f t="shared" si="1"/>
        <v>8165919.9109999985</v>
      </c>
      <c r="F12" s="51">
        <f>F8-F10</f>
        <v>5302495.3539999994</v>
      </c>
      <c r="G12" s="51">
        <f>G8-G10</f>
        <v>4130312.8891040003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0.18022025448249931</v>
      </c>
      <c r="D13" s="54">
        <f t="shared" ref="D13:E13" si="2">D14/D8</f>
        <v>4.2403573994082511E-2</v>
      </c>
      <c r="E13" s="54">
        <f t="shared" si="2"/>
        <v>6.7328499738051453E-2</v>
      </c>
      <c r="F13" s="54">
        <f>F14/F8</f>
        <v>9.562883617891034E-2</v>
      </c>
      <c r="G13" s="207">
        <v>0.11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1042405.909</v>
      </c>
      <c r="D14" s="198">
        <f>Data!E11</f>
        <v>1037106.517</v>
      </c>
      <c r="E14" s="198">
        <f>Data!D11</f>
        <v>1041422.6849999999</v>
      </c>
      <c r="F14" s="198">
        <f>Data!C11</f>
        <v>1127944.4380000001</v>
      </c>
      <c r="G14" s="161">
        <f>G13*G8</f>
        <v>1135836.0445035999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0.39840975185134742</v>
      </c>
      <c r="D15" s="166">
        <f t="shared" si="3"/>
        <v>0.50740630348856941</v>
      </c>
      <c r="E15" s="166">
        <f t="shared" si="3"/>
        <v>0.46060232461182588</v>
      </c>
      <c r="F15" s="166">
        <f>F17/F8</f>
        <v>0.35392474329190671</v>
      </c>
      <c r="G15" s="166">
        <f>G17/G8</f>
        <v>0.29000000000000004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4.3853450254114605</v>
      </c>
      <c r="E16" s="171">
        <f t="shared" si="4"/>
        <v>-0.42591332985307506</v>
      </c>
      <c r="F16" s="171">
        <f>F17/E17-1</f>
        <v>-0.41405677010225006</v>
      </c>
      <c r="G16" s="149">
        <f>IF(ABS(F17+G17)=ABS(F17)+ABS(G17),IF(G17&lt;0,-1,1)*(G17-F17)/F17,"Turn")</f>
        <v>-0.28268287898386218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2304428.4379999992</v>
      </c>
      <c r="D17" s="154">
        <f t="shared" si="5"/>
        <v>12410142.224999998</v>
      </c>
      <c r="E17" s="154">
        <f>E12-E14</f>
        <v>7124497.2259999989</v>
      </c>
      <c r="F17" s="154">
        <f>F12-F14</f>
        <v>4174550.9159999993</v>
      </c>
      <c r="G17" s="154">
        <f>G12-G14</f>
        <v>2994476.8446004004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0.26544355746893006</v>
      </c>
      <c r="G19" s="149">
        <f>G20/G8</f>
        <v>0.21750000000000005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3130913.1869999995</v>
      </c>
      <c r="G20" s="210">
        <f>IF(G17="","",IF(G17&lt;=0,G17,G17*(1-G18)))</f>
        <v>2245857.6334503004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338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318" t="s">
        <v>414</v>
      </c>
      <c r="C22" s="319">
        <v>186146.902</v>
      </c>
      <c r="D22" s="319">
        <v>181017.67300000001</v>
      </c>
      <c r="E22" s="319">
        <v>181017.67300000001</v>
      </c>
      <c r="F22" s="320">
        <v>198160.05499999999</v>
      </c>
      <c r="G22" s="319">
        <f>F22</f>
        <v>198160.05499999999</v>
      </c>
      <c r="H22" s="319"/>
      <c r="I22" s="319"/>
    </row>
    <row r="23" spans="2:12" ht="15.75" customHeight="1">
      <c r="B23" s="14" t="s">
        <v>415</v>
      </c>
      <c r="C23" s="288"/>
      <c r="D23" s="288"/>
      <c r="E23" s="288"/>
      <c r="F23" s="95">
        <f>Data!C33</f>
        <v>231234.52100000001</v>
      </c>
      <c r="G23" s="161">
        <f>F23</f>
        <v>231234.52100000001</v>
      </c>
      <c r="H23" s="161"/>
      <c r="I23" s="161" t="str">
        <f>IF(I15="","",IF(ABS(H24+I24)=ABS(H24)+ABS(I24),IF(I24&lt;0,-1,1)*(I24-H24)/H24,"Turn"))</f>
        <v/>
      </c>
    </row>
    <row r="24" spans="2:12" ht="15.75" customHeight="1">
      <c r="B24" s="85" t="s">
        <v>341</v>
      </c>
      <c r="C24" s="289"/>
      <c r="D24" s="289"/>
      <c r="E24" s="289"/>
      <c r="F24" s="214">
        <f>F21-F22+F23</f>
        <v>33074.466000000015</v>
      </c>
      <c r="G24" s="214">
        <f>IF(G15="","",G21-G22+G23)</f>
        <v>33074.466000000015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>
      <c r="B25" s="14" t="s">
        <v>333</v>
      </c>
      <c r="C25" s="285"/>
      <c r="D25" s="285"/>
      <c r="E25" s="285"/>
      <c r="F25" s="171">
        <f>AVERAGE(Data!C54:E54)</f>
        <v>5.0464923276249164E-2</v>
      </c>
      <c r="G25" s="387"/>
      <c r="H25" s="388"/>
      <c r="I25" s="389"/>
    </row>
    <row r="26" spans="2:12" ht="15.75" customHeight="1">
      <c r="B26" s="84" t="s">
        <v>123</v>
      </c>
      <c r="C26" s="289"/>
      <c r="D26" s="289"/>
      <c r="E26" s="289"/>
      <c r="F26" s="214">
        <f>F20-F24</f>
        <v>3097838.7209999994</v>
      </c>
      <c r="G26" s="214">
        <f>G20-G24</f>
        <v>2212783.1674503004</v>
      </c>
      <c r="H26" s="214" t="str">
        <f>IF(H20="","",H20-H24)</f>
        <v/>
      </c>
      <c r="I26" s="214" t="str">
        <f>IF(I20="","",I20-I24)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C22:E22">
    <cfRule type="containsBlanks" dxfId="13" priority="1">
      <formula>LEN(TRIM(C22))=0</formula>
    </cfRule>
    <cfRule type="containsBlanks" priority="4">
      <formula>LEN(TRIM(C22))=0</formula>
    </cfRule>
  </conditionalFormatting>
  <conditionalFormatting sqref="G18:G20">
    <cfRule type="containsBlanks" dxfId="12" priority="25">
      <formula>LEN(TRIM(G18))=0</formula>
    </cfRule>
  </conditionalFormatting>
  <conditionalFormatting sqref="G25">
    <cfRule type="containsBlanks" dxfId="11" priority="14">
      <formula>LEN(TRIM(G25))=0</formula>
    </cfRule>
  </conditionalFormatting>
  <conditionalFormatting sqref="G22:H22">
    <cfRule type="containsBlanks" dxfId="10" priority="6">
      <formula>LEN(TRIM(G22))=0</formula>
    </cfRule>
  </conditionalFormatting>
  <conditionalFormatting sqref="H10:H13 H15:H17">
    <cfRule type="containsBlanks" priority="34">
      <formula>LEN(TRIM(H10))=0</formula>
    </cfRule>
  </conditionalFormatting>
  <conditionalFormatting sqref="H10:H24">
    <cfRule type="containsBlanks" dxfId="9" priority="33">
      <formula>LEN(TRIM(H10))=0</formula>
    </cfRule>
  </conditionalFormatting>
  <conditionalFormatting sqref="H20:I20">
    <cfRule type="containsBlanks" dxfId="8" priority="27">
      <formula>LEN(TRIM(H20))=0</formula>
    </cfRule>
  </conditionalFormatting>
  <conditionalFormatting sqref="H21:I24 G22:H22 H26:I26">
    <cfRule type="containsBlanks" priority="16">
      <formula>LEN(TRIM(G21))=0</formula>
    </cfRule>
  </conditionalFormatting>
  <conditionalFormatting sqref="H21:I24 H26:I26">
    <cfRule type="containsBlanks" dxfId="7" priority="15">
      <formula>LEN(TRIM(H21))=0</formula>
    </cfRule>
  </conditionalFormatting>
  <conditionalFormatting sqref="I9:I17">
    <cfRule type="containsBlanks" priority="30">
      <formula>LEN(TRIM(I9))=0</formula>
    </cfRule>
  </conditionalFormatting>
  <conditionalFormatting sqref="I9:I24">
    <cfRule type="containsBlanks" dxfId="6" priority="29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388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389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390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391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349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352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362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353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354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355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356</v>
      </c>
      <c r="J76" s="296"/>
      <c r="K76" s="296"/>
      <c r="L76" s="296"/>
      <c r="M76" s="296"/>
    </row>
    <row r="78" spans="2:13" ht="13">
      <c r="B78" s="297" t="s">
        <v>361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359</v>
      </c>
      <c r="J80" s="295"/>
      <c r="K80" s="295"/>
      <c r="L80" s="295"/>
      <c r="M80" s="295"/>
    </row>
    <row r="81" spans="2:13">
      <c r="B81" s="292" t="s">
        <v>360</v>
      </c>
      <c r="J81" s="295"/>
      <c r="K81" s="295"/>
      <c r="L81" s="295"/>
      <c r="M81" s="295"/>
    </row>
    <row r="82" spans="2:13">
      <c r="B82" s="292" t="s">
        <v>358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363</v>
      </c>
      <c r="J104" s="298">
        <f>Data!F19</f>
        <v>1688050</v>
      </c>
      <c r="K104" s="298">
        <f>Data!E19</f>
        <v>9646036</v>
      </c>
      <c r="L104" s="298">
        <f>Data!D19</f>
        <v>5735396</v>
      </c>
      <c r="M104" s="298">
        <f>Data!C19</f>
        <v>5849379.3020000001</v>
      </c>
    </row>
    <row r="105" spans="2:13">
      <c r="B105" t="s">
        <v>364</v>
      </c>
      <c r="J105" s="298">
        <f>Data!F33</f>
        <v>56000</v>
      </c>
      <c r="K105" s="298">
        <f>Data!E33</f>
        <v>247000</v>
      </c>
      <c r="L105" s="298">
        <f>Data!D33</f>
        <v>1176000</v>
      </c>
      <c r="M105" s="298">
        <f>Data!C33</f>
        <v>231234.52100000001</v>
      </c>
    </row>
    <row r="106" spans="2:13">
      <c r="B106" t="s">
        <v>365</v>
      </c>
      <c r="J106" s="298">
        <f>Data!F40</f>
        <v>1287845</v>
      </c>
      <c r="K106" s="298">
        <f>Data!E40</f>
        <v>508443</v>
      </c>
      <c r="L106" s="298">
        <f>Data!D40</f>
        <v>3053687</v>
      </c>
      <c r="M106" s="298">
        <f>Data!C40</f>
        <v>3513908.3724799999</v>
      </c>
    </row>
    <row r="107" spans="2:13">
      <c r="B107" t="s">
        <v>366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368</v>
      </c>
      <c r="J108" s="298">
        <f>Data!F34</f>
        <v>0</v>
      </c>
      <c r="K108" s="298">
        <f>Data!E34</f>
        <v>0</v>
      </c>
      <c r="L108" s="298">
        <f>Data!D34</f>
        <v>230000</v>
      </c>
      <c r="M108" s="298">
        <f>Data!C34</f>
        <v>0</v>
      </c>
    </row>
    <row r="111" spans="2:13">
      <c r="B111" t="s">
        <v>370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371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372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G24" sqref="G2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328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45107</v>
      </c>
      <c r="D3" s="194">
        <f>Projections!G3</f>
        <v>45473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3130913.1869999995</v>
      </c>
      <c r="D4" s="243">
        <f>IF(B4="NOPAT",Projections!G20,Projections!G8)</f>
        <v>2245857.6334503004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-0.28268287898386213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1.0563840012342066E-2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33074.466000000015</v>
      </c>
      <c r="D7" s="313">
        <f>Projections!G24</f>
        <v>33074.466000000015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3097838.7209999994</v>
      </c>
      <c r="D8" s="210">
        <f>Projections!G20-D7</f>
        <v>2212783.1674503004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0.37908519768541049</v>
      </c>
      <c r="D9" s="248">
        <f>D8/(Common_Shares/Data!$C$4)</f>
        <v>0.2707801858054979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0.2707801858054979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1.06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43109488.011160001</v>
      </c>
      <c r="D15" s="106">
        <f>C15/(Dashboard!I5/Data!C4)</f>
        <v>5.2753452508825509</v>
      </c>
      <c r="E15" s="52" t="s">
        <v>199</v>
      </c>
      <c r="G15" s="199">
        <f>C15+C16+C17+C18</f>
        <v>46376088.186428979</v>
      </c>
    </row>
    <row r="16" spans="1:10" ht="15.75" customHeight="1">
      <c r="B16" s="37" t="s">
        <v>205</v>
      </c>
      <c r="C16" s="51">
        <f>Asset_Model!E61</f>
        <v>10142513.5746</v>
      </c>
      <c r="D16" s="106">
        <f>C16/(Dashboard!I5/Data!C4)</f>
        <v>1.2411481389880274</v>
      </c>
      <c r="E16" s="52" t="s">
        <v>275</v>
      </c>
      <c r="G16" s="264">
        <f>(G15+MIN(D4,0))*Data!C$4/Dashboard!I5</f>
        <v>5.6750819333659113</v>
      </c>
    </row>
    <row r="17" spans="1:9" ht="15.75" customHeight="1">
      <c r="B17" s="37" t="s">
        <v>192</v>
      </c>
      <c r="C17" s="51">
        <f>-Asset_Model!D55</f>
        <v>-6119881.9583310001</v>
      </c>
      <c r="D17" s="106">
        <f>C17/(Dashboard!I5/Data!C4)</f>
        <v>-0.74889523662367719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-756031.44100001454</v>
      </c>
      <c r="D18" s="106">
        <f>C18/(Dashboard!I5/Data!C4)</f>
        <v>-9.2516219880988543E-2</v>
      </c>
      <c r="E18" s="342"/>
      <c r="F18" s="89">
        <f>D15+(MIN(D4,0)*Data!C$4/Dashboard!I5)</f>
        <v>5.2753452508825509</v>
      </c>
      <c r="G18" s="88">
        <f>SUM(D16:D18)</f>
        <v>0.39973668248336169</v>
      </c>
    </row>
    <row r="19" spans="1:9" ht="15.75" customHeight="1">
      <c r="F19" s="6"/>
      <c r="G19" s="6"/>
    </row>
    <row r="20" spans="1:9" ht="15.75" customHeight="1">
      <c r="B20" s="20" t="s">
        <v>327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"&amp;Projections!E2</f>
        <v>TV after Year 1</v>
      </c>
      <c r="C21" s="265" t="s">
        <v>189</v>
      </c>
      <c r="D21" s="38" t="s">
        <v>324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1.5327180328613088</v>
      </c>
      <c r="F22" s="239">
        <f ca="1">SUM(D12:F12)+E22+$G$16</f>
        <v>7.2077999662272205</v>
      </c>
      <c r="G22" s="271">
        <f ca="1">F22*Exchange_Rate</f>
        <v>7.2077999662272205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 ca="1">IF(D23="",IF(G9&lt;0,G9,G9*C23/G11),D23)</f>
        <v>3.0654360657226176</v>
      </c>
      <c r="F23" s="98">
        <f ca="1">SUM(D12:F12)+E23+$G$16</f>
        <v>8.740517999088528</v>
      </c>
      <c r="G23" s="272">
        <f ca="1">F23*Exchange_Rate</f>
        <v>8.740517999088528</v>
      </c>
      <c r="I23" s="43"/>
    </row>
    <row r="24" spans="1:9" ht="15.5" customHeight="1">
      <c r="C24" s="6"/>
      <c r="D24" s="6"/>
      <c r="E24" s="391" t="s">
        <v>332</v>
      </c>
      <c r="F24" s="392"/>
      <c r="G24" s="143">
        <f ca="1">MIN(G22,G23)+ABS(G22-G23)*Qualitative_Analysis!$E$64</f>
        <v>7.9539312752854192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45107</v>
      </c>
      <c r="D27" s="194">
        <f>D3</f>
        <v>45473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3097838.7209999994</v>
      </c>
      <c r="D28" s="51">
        <f>D8</f>
        <v>2212783.1674503004</v>
      </c>
      <c r="E28" s="51" t="str">
        <f>E8</f>
        <v/>
      </c>
      <c r="F28" s="51" t="str">
        <f>F8</f>
        <v/>
      </c>
      <c r="G28" s="161"/>
      <c r="I28" s="43" t="s">
        <v>316</v>
      </c>
    </row>
    <row r="29" spans="1:9" ht="15.75" customHeight="1">
      <c r="B29" s="141" t="s">
        <v>298</v>
      </c>
      <c r="C29" s="180">
        <f>5.31095%+1.8%</f>
        <v>7.1109500000000006E-2</v>
      </c>
      <c r="D29" s="207">
        <v>0.06</v>
      </c>
      <c r="E29" s="180"/>
      <c r="F29" s="207"/>
      <c r="G29" s="207"/>
      <c r="I29" s="43"/>
    </row>
    <row r="30" spans="1:9" ht="15.75" customHeight="1">
      <c r="B30" s="141" t="s">
        <v>307</v>
      </c>
      <c r="C30" s="95">
        <f>MAX(Asset_Model!D55,0)</f>
        <v>6119881.9583310001</v>
      </c>
      <c r="D30" s="150">
        <v>0</v>
      </c>
      <c r="E30" s="161"/>
      <c r="F30" s="161"/>
      <c r="G30" s="161"/>
      <c r="I30" s="43" t="s">
        <v>308</v>
      </c>
    </row>
    <row r="31" spans="1:9" ht="15.75" customHeight="1">
      <c r="B31" s="141" t="s">
        <v>312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311</v>
      </c>
      <c r="C32" s="276">
        <f>C30*(C29*(1-Projections!F18))</f>
        <v>326386.30958695372</v>
      </c>
      <c r="D32" s="276">
        <f>(D30*D29)*(1-D31)</f>
        <v>0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299</v>
      </c>
      <c r="C33" s="51">
        <f>C28-C32</f>
        <v>2771452.4114130456</v>
      </c>
      <c r="D33" s="210">
        <f>D28-D32</f>
        <v>2212783.1674503004</v>
      </c>
      <c r="E33" s="210" t="str">
        <f>IF(E28="","",E28-E32)</f>
        <v/>
      </c>
      <c r="F33" s="210" t="str">
        <f>IF(F28="","",F28-F32)</f>
        <v/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0.3391450233138919</v>
      </c>
      <c r="D34" s="245">
        <f>D33/(Common_Shares/Data!$C$4)</f>
        <v>0.2707801858054979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0.2707801858054979</v>
      </c>
      <c r="H34" s="6"/>
      <c r="I34" s="43"/>
    </row>
    <row r="35" spans="1:9" ht="15.75" customHeight="1">
      <c r="B35" s="141" t="s">
        <v>305</v>
      </c>
      <c r="C35" s="273">
        <f>Dashboard!C31</f>
        <v>9.5399999999999991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>
      <c r="B36" s="142" t="s">
        <v>304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0.57239999999999991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0.23697688925910498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-0.30161981419450201</v>
      </c>
      <c r="I37" s="43" t="s">
        <v>302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0.87240449738534886</v>
      </c>
      <c r="I38" s="43"/>
    </row>
    <row r="39" spans="1:9" ht="15.75" customHeight="1">
      <c r="B39" s="85" t="s">
        <v>310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-0.34573390565784057</v>
      </c>
      <c r="I39" s="43"/>
    </row>
    <row r="40" spans="1:9" ht="15.75" customHeight="1">
      <c r="B40" s="20" t="s">
        <v>330</v>
      </c>
      <c r="C40" s="6"/>
      <c r="D40" s="6"/>
      <c r="E40" s="393" t="s">
        <v>320</v>
      </c>
      <c r="F40" s="371"/>
      <c r="G40" s="280">
        <f>Asset_Model!D7</f>
        <v>12.669840806341966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12.324106900684125</v>
      </c>
    </row>
    <row r="42" spans="1:9" ht="15.75" customHeight="1"/>
    <row r="43" spans="1:9" ht="15.75" customHeight="1">
      <c r="A43" s="4"/>
      <c r="B43" s="254" t="s">
        <v>331</v>
      </c>
      <c r="C43" s="6"/>
      <c r="D43" s="6"/>
      <c r="E43" s="22" t="s">
        <v>189</v>
      </c>
      <c r="F43" s="22" t="s">
        <v>325</v>
      </c>
      <c r="G43" s="22" t="s">
        <v>326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10.488633138016668</v>
      </c>
      <c r="D44" s="262" t="str">
        <f>Dashboard!J4</f>
        <v>HKD</v>
      </c>
      <c r="E44" s="263">
        <f ca="1">(C44-G16)/C9</f>
        <v>12.697808392522239</v>
      </c>
      <c r="F44" s="263">
        <f ca="1">C44/(Data!C29*Exchange_Rate*Data!C4/Common_Shares)</f>
        <v>0.52550156609634124</v>
      </c>
      <c r="G44" s="263">
        <f ca="1">C44/(Data!C7*Data!C4*Exchange_Rate/Common_Shares)</f>
        <v>7.2140217829414413</v>
      </c>
      <c r="I44" s="43"/>
    </row>
    <row r="45" spans="1:9" ht="15.75" customHeight="1">
      <c r="B45" s="6" t="s">
        <v>313</v>
      </c>
      <c r="C45" s="255">
        <f>Asset_Model!I3*Exchange_Rate*Data!C4/Common_Shares*0.6</f>
        <v>11.920058541936953</v>
      </c>
      <c r="D45" s="256" t="str">
        <f>D44</f>
        <v>HKD</v>
      </c>
      <c r="E45" s="223">
        <f>(C45-G16)/C9</f>
        <v>16.473807594443528</v>
      </c>
      <c r="F45" s="223">
        <f>C45/(Asset_Model!I3*Exchange_Rate*Data!C4/Common_Shares)</f>
        <v>0.6</v>
      </c>
      <c r="G45" s="223">
        <f>C45/(Data!C7*Data!C4*Exchange_Rate/Common_Shares)</f>
        <v>8.1985479751206949</v>
      </c>
      <c r="I45" s="43" t="s">
        <v>409</v>
      </c>
    </row>
    <row r="46" spans="1:9" ht="15.75" customHeight="1">
      <c r="B46" s="257" t="s">
        <v>314</v>
      </c>
      <c r="C46" s="258">
        <f ca="1">MIN(C45,C44)+ABS(C45-C44)*Qualitative_Analysis!E64</f>
        <v>11.185454919680176</v>
      </c>
      <c r="D46" s="256" t="str">
        <f>D45</f>
        <v>HKD</v>
      </c>
      <c r="E46" s="223">
        <f ca="1">(C46-G16)/C9</f>
        <v>14.535975078845283</v>
      </c>
      <c r="F46" s="223">
        <f ca="1">C46/(Asset_Model!I3*Exchange_Rate*Data!C4/Common_Shares)</f>
        <v>0.56302348920490741</v>
      </c>
      <c r="G46" s="223">
        <f ca="1">C46/(Data!C7*Data!C4*Exchange_Rate/Common_Shares)</f>
        <v>7.6932918122771374</v>
      </c>
    </row>
    <row r="47" spans="1:9" ht="15.75" customHeight="1">
      <c r="B47" s="84" t="s">
        <v>280</v>
      </c>
      <c r="C47" s="259">
        <f ca="1">MAX(G41,C44)/(1+Dashboard!I14)</f>
        <v>9.8592855205472993</v>
      </c>
      <c r="D47" s="260" t="str">
        <f>D45</f>
        <v>HKD</v>
      </c>
      <c r="E47" s="224">
        <f ca="1">(C47-G16)/C9</f>
        <v>11.037633789789155</v>
      </c>
      <c r="F47" s="224">
        <f ca="1">C47/(Asset_Model!I3*Exchange_Rate*Data!C4/Common_Shares)</f>
        <v>0.49627032380053454</v>
      </c>
      <c r="G47" s="224">
        <f ca="1">C47/(Data!C7*Data!C4*Exchange_Rate/Common_Shares)</f>
        <v>6.7811600971789403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7" zoomScaleNormal="100" workbookViewId="0">
      <selection activeCell="E56" sqref="E56: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>
      <c r="B5" s="6" t="s">
        <v>228</v>
      </c>
      <c r="C5" s="60"/>
      <c r="D5" s="58">
        <f>AVERAGE(D12:D16)</f>
        <v>1.4</v>
      </c>
      <c r="E5" s="170" t="str">
        <f>IF(D5&gt;=3.5,"Strongly agree",IF(D5&gt;=2.5,"agree",IF(D5&gt;=1.5,"unclear",IF(D5&gt;=0.5,"disagree","Strongly disagree"))))</f>
        <v>disagree</v>
      </c>
      <c r="G5" s="45"/>
    </row>
    <row r="6" spans="1:7" ht="14">
      <c r="B6" s="6" t="s">
        <v>229</v>
      </c>
      <c r="C6" s="60"/>
      <c r="D6" s="58">
        <f>AVERAGE(D24:D28)</f>
        <v>3.2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2.3200000000000003</v>
      </c>
      <c r="E8" s="215">
        <f>D8/4</f>
        <v>0.58000000000000007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0</v>
      </c>
      <c r="E14" s="175" t="s">
        <v>150</v>
      </c>
      <c r="F14" s="6"/>
      <c r="G14" s="119" t="s">
        <v>335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336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4</v>
      </c>
      <c r="E16" s="175" t="s">
        <v>137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343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337</v>
      </c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0</v>
      </c>
      <c r="E22" s="175" t="s">
        <v>150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4</v>
      </c>
      <c r="E24" s="175" t="s">
        <v>137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3</v>
      </c>
      <c r="E26" s="175" t="s">
        <v>128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3</v>
      </c>
      <c r="E28" s="175" t="s">
        <v>128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0.6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4</v>
      </c>
      <c r="E35" s="175" t="s">
        <v>137</v>
      </c>
      <c r="G35" s="119"/>
    </row>
    <row r="36" spans="2:7" ht="15" customHeight="1">
      <c r="B36" s="1" t="s">
        <v>151</v>
      </c>
      <c r="D36" s="64">
        <f>SUM(D37:D41)/(5*4)</f>
        <v>0.2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1</v>
      </c>
      <c r="E37" s="175" t="s">
        <v>135</v>
      </c>
      <c r="F37" s="6"/>
      <c r="G37" s="119"/>
    </row>
    <row r="38" spans="2:7" ht="15" customHeight="1">
      <c r="B38" s="32" t="s">
        <v>239</v>
      </c>
      <c r="D38" s="63">
        <f t="shared" si="4"/>
        <v>1</v>
      </c>
      <c r="E38" s="175" t="s">
        <v>135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0</v>
      </c>
      <c r="E40" s="175" t="s">
        <v>150</v>
      </c>
      <c r="F40" s="6"/>
      <c r="G40" s="119"/>
    </row>
    <row r="41" spans="2:7" ht="15" customHeight="1">
      <c r="B41" s="32" t="s">
        <v>242</v>
      </c>
      <c r="D41" s="63">
        <f t="shared" si="4"/>
        <v>1</v>
      </c>
      <c r="E41" s="175" t="s">
        <v>135</v>
      </c>
      <c r="G41" s="119"/>
    </row>
    <row r="42" spans="2:7" ht="15" customHeight="1">
      <c r="B42" s="1" t="s">
        <v>153</v>
      </c>
      <c r="D42" s="64">
        <f>SUM(D43:D48)/(6*4)</f>
        <v>0.58333333333333337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2</v>
      </c>
      <c r="E43" s="175" t="s">
        <v>127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0.29727891156462583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0</v>
      </c>
      <c r="E52" s="175" t="s">
        <v>150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1.9455782312925169</v>
      </c>
      <c r="E54" s="175" t="s">
        <v>410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0.83333333333333337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1</v>
      </c>
      <c r="E61" s="175" t="s">
        <v>135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0.4972108843537415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1.9472108843537415</v>
      </c>
      <c r="E64" s="217">
        <f>AVERAGE(AVERAGE(D12:D16)/4,AVERAGE(D18:D22)/4,AVERAGE(D24:D28)/4,D62)</f>
        <v>0.48680272108843536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2023-09-07T10:43:56Z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