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FAFB89C7-2166-4CAC-863E-86C5BF3CE246}" xr6:coauthVersionLast="47" xr6:coauthVersionMax="47" xr10:uidLastSave="{00000000-0000-0000-0000-000000000000}"/>
  <bookViews>
    <workbookView xWindow="1330" yWindow="2700" windowWidth="14400" windowHeight="7520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30" i="4" l="1"/>
  <c r="D16" i="4"/>
  <c r="D17" i="4"/>
  <c r="D15" i="4"/>
  <c r="F18" i="4" l="1"/>
  <c r="F6" i="4"/>
  <c r="F7" i="4"/>
  <c r="I7" i="7"/>
  <c r="I12" i="7" s="1"/>
  <c r="I21" i="7"/>
  <c r="I13" i="7"/>
  <c r="E30" i="4"/>
  <c r="E6" i="4"/>
  <c r="H21" i="7"/>
  <c r="H8" i="7"/>
  <c r="H12" i="7"/>
  <c r="H13" i="7"/>
  <c r="H7" i="7"/>
  <c r="G21" i="7"/>
  <c r="D68" i="3"/>
  <c r="E33" i="2"/>
  <c r="D33" i="2"/>
  <c r="C33" i="2"/>
  <c r="G13" i="7"/>
  <c r="G9" i="7"/>
  <c r="F9" i="2"/>
  <c r="E9" i="2"/>
  <c r="D9" i="2"/>
  <c r="D11" i="2"/>
  <c r="C9" i="2"/>
  <c r="C11" i="2"/>
  <c r="C38" i="3"/>
  <c r="C14" i="3"/>
  <c r="C17" i="3"/>
  <c r="F35" i="2" l="1"/>
  <c r="G35" i="2"/>
  <c r="H35" i="2"/>
  <c r="I35" i="2"/>
  <c r="J35" i="2"/>
  <c r="K35" i="2"/>
  <c r="L35" i="2"/>
  <c r="M35" i="2"/>
  <c r="F9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9" i="7"/>
  <c r="D9" i="7"/>
  <c r="E9" i="7"/>
  <c r="C7" i="7"/>
  <c r="F7" i="7"/>
  <c r="G7" i="7" s="1"/>
  <c r="G10" i="7" s="1"/>
  <c r="E7" i="7"/>
  <c r="D7" i="7"/>
  <c r="C13" i="7"/>
  <c r="D13" i="7"/>
  <c r="E13" i="7"/>
  <c r="F13" i="7"/>
  <c r="I15" i="3"/>
  <c r="C37" i="1"/>
  <c r="B18" i="1" s="1"/>
  <c r="J20" i="1"/>
  <c r="F42" i="1"/>
  <c r="I20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2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0" i="7"/>
  <c r="E12" i="7"/>
  <c r="D12" i="7"/>
  <c r="C12" i="7"/>
  <c r="E10" i="7"/>
  <c r="C11" i="7"/>
  <c r="C16" i="7" s="1"/>
  <c r="C14" i="7" s="1"/>
  <c r="D8" i="7"/>
  <c r="E11" i="7"/>
  <c r="E16" i="7" s="1"/>
  <c r="E14" i="7" s="1"/>
  <c r="E8" i="7"/>
  <c r="D10" i="7"/>
  <c r="D11" i="7"/>
  <c r="D16" i="7" s="1"/>
  <c r="B6" i="4"/>
  <c r="B9" i="4"/>
  <c r="J27" i="1"/>
  <c r="C31" i="4"/>
  <c r="C35" i="4"/>
  <c r="G27" i="4"/>
  <c r="D14" i="7" l="1"/>
  <c r="D15" i="7"/>
  <c r="E15" i="7"/>
  <c r="G8" i="7"/>
  <c r="G20" i="7" s="1"/>
  <c r="B16" i="1" l="1"/>
  <c r="H20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C45" i="4" s="1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F8" i="7" l="1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0" i="7"/>
  <c r="I7" i="3"/>
  <c r="F12" i="7"/>
  <c r="G12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1" i="7"/>
  <c r="F16" i="7" s="1"/>
  <c r="D55" i="3"/>
  <c r="C30" i="4" s="1"/>
  <c r="D30" i="4" s="1"/>
  <c r="E62" i="3"/>
  <c r="C15" i="4" s="1"/>
  <c r="F47" i="2"/>
  <c r="C13" i="2"/>
  <c r="F10" i="7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I9" i="7" l="1"/>
  <c r="I11" i="7" s="1"/>
  <c r="I16" i="7" s="1"/>
  <c r="I14" i="7" s="1"/>
  <c r="G11" i="7"/>
  <c r="F23" i="7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4" i="7"/>
  <c r="F15" i="7"/>
  <c r="C38" i="2"/>
  <c r="E55" i="2"/>
  <c r="C17" i="4"/>
  <c r="C32" i="4"/>
  <c r="G12" i="2"/>
  <c r="D46" i="4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62" i="5"/>
  <c r="E62" i="5" s="1"/>
  <c r="D63" i="3"/>
  <c r="E35" i="1"/>
  <c r="C38" i="1"/>
  <c r="D3" i="4"/>
  <c r="D27" i="4" s="1"/>
  <c r="F19" i="7"/>
  <c r="F18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C3" i="7"/>
  <c r="F24" i="7"/>
  <c r="C4" i="4"/>
  <c r="F25" i="7"/>
  <c r="C55" i="2"/>
  <c r="G16" i="7"/>
  <c r="D44" i="3"/>
  <c r="D45" i="3"/>
  <c r="G15" i="4"/>
  <c r="G16" i="4" s="1"/>
  <c r="J27" i="3"/>
  <c r="D25" i="3"/>
  <c r="C6" i="4" l="1"/>
  <c r="D6" i="3"/>
  <c r="D7" i="3" s="1"/>
  <c r="G18" i="4" s="1"/>
  <c r="G15" i="7"/>
  <c r="G14" i="7"/>
  <c r="G23" i="7" s="1"/>
  <c r="C8" i="4"/>
  <c r="G17" i="7"/>
  <c r="J47" i="3"/>
  <c r="J28" i="3" s="1"/>
  <c r="D31" i="4" l="1"/>
  <c r="D32" i="4" s="1"/>
  <c r="G19" i="7"/>
  <c r="G18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D6" i="4" l="1"/>
  <c r="F16" i="1"/>
  <c r="H16" i="1" s="1"/>
  <c r="D5" i="4"/>
  <c r="G25" i="7"/>
  <c r="D8" i="4"/>
  <c r="D28" i="4" s="1"/>
  <c r="E6" i="3"/>
  <c r="E17" i="4" l="1"/>
  <c r="D33" i="4"/>
  <c r="D34" i="4" s="1"/>
  <c r="D9" i="4"/>
  <c r="H9" i="7"/>
  <c r="H3" i="7"/>
  <c r="E3" i="4" l="1"/>
  <c r="E27" i="4" s="1"/>
  <c r="G45" i="4"/>
  <c r="F45" i="4"/>
  <c r="E45" i="4"/>
  <c r="H11" i="7"/>
  <c r="H16" i="7" s="1"/>
  <c r="I15" i="7" l="1"/>
  <c r="I3" i="7" s="1"/>
  <c r="E2" i="7" s="1"/>
  <c r="H17" i="7"/>
  <c r="H15" i="7"/>
  <c r="H14" i="7"/>
  <c r="H23" i="7" s="1"/>
  <c r="D10" i="4" l="1"/>
  <c r="F3" i="4"/>
  <c r="G4" i="4" s="1"/>
  <c r="B21" i="4" s="1"/>
  <c r="G2" i="4" s="1"/>
  <c r="G26" i="4" s="1"/>
  <c r="E31" i="4"/>
  <c r="I17" i="7"/>
  <c r="H19" i="7"/>
  <c r="H18" i="7" s="1"/>
  <c r="D35" i="4" l="1"/>
  <c r="D36" i="4" s="1"/>
  <c r="D37" i="4" s="1"/>
  <c r="D11" i="4"/>
  <c r="F27" i="4"/>
  <c r="E4" i="4"/>
  <c r="E10" i="4" s="1"/>
  <c r="E11" i="4" s="1"/>
  <c r="E12" i="4" s="1"/>
  <c r="E7" i="4"/>
  <c r="F31" i="4"/>
  <c r="I19" i="7"/>
  <c r="I18" i="7" l="1"/>
  <c r="F4" i="4"/>
  <c r="D12" i="4"/>
  <c r="D38" i="4"/>
  <c r="D39" i="4" s="1"/>
  <c r="E5" i="4"/>
  <c r="H25" i="7"/>
  <c r="E8" i="4"/>
  <c r="E28" i="4" s="1"/>
  <c r="E32" i="4" s="1"/>
  <c r="F5" i="4" l="1"/>
  <c r="F10" i="4"/>
  <c r="F8" i="4"/>
  <c r="F28" i="4" s="1"/>
  <c r="F32" i="4" s="1"/>
  <c r="F33" i="4" s="1"/>
  <c r="F34" i="4" s="1"/>
  <c r="E33" i="4"/>
  <c r="E34" i="4" s="1"/>
  <c r="F9" i="4"/>
  <c r="G9" i="4"/>
  <c r="E35" i="4"/>
  <c r="E38" i="4"/>
  <c r="E9" i="4"/>
  <c r="F11" i="4" l="1"/>
  <c r="F12" i="4" s="1"/>
  <c r="F35" i="4"/>
  <c r="F36" i="4" s="1"/>
  <c r="F37" i="4" s="1"/>
  <c r="G38" i="4"/>
  <c r="G34" i="4"/>
  <c r="G37" i="4" s="1"/>
  <c r="G11" i="4"/>
  <c r="F38" i="4" l="1"/>
  <c r="F39" i="4" s="1"/>
  <c r="E22" i="4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  <c r="I23" i="7"/>
  <c r="I25" i="7" s="1"/>
</calcChain>
</file>

<file path=xl/sharedStrings.xml><?xml version="1.0" encoding="utf-8"?>
<sst xmlns="http://schemas.openxmlformats.org/spreadsheetml/2006/main" count="476" uniqueCount="408">
  <si>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</si>
  <si>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</si>
  <si>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</si>
  <si>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</si>
  <si>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</si>
  <si>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</si>
  <si>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</si>
  <si>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</si>
  <si>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</si>
  <si>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</si>
  <si>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</si>
  <si>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</si>
  <si>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</si>
  <si>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</si>
  <si>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</si>
  <si>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</si>
  <si>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</si>
  <si>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</si>
  <si>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</si>
  <si>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</si>
  <si>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</si>
  <si>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</si>
  <si>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</si>
  <si>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</si>
  <si>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</si>
  <si>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</si>
  <si>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</si>
  <si>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</si>
  <si>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</si>
  <si>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</si>
  <si>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</si>
  <si>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</si>
  <si>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</si>
  <si>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</si>
  <si>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</si>
  <si>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</si>
  <si>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</si>
  <si>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</si>
  <si>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</si>
  <si>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</si>
  <si>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</si>
  <si>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</si>
  <si>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</si>
  <si>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</si>
  <si>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</si>
  <si>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</si>
  <si>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</si>
  <si>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</si>
  <si>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</si>
  <si>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</si>
  <si>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</si>
  <si>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</si>
  <si>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</si>
  <si>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</si>
  <si>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</si>
  <si>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</si>
  <si>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</si>
  <si>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</si>
  <si>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</si>
  <si>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</si>
  <si>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</si>
  <si>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</si>
  <si>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</si>
  <si>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</si>
  <si>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</si>
  <si>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</si>
  <si>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</si>
  <si>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</si>
  <si>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</si>
  <si>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</si>
  <si>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</si>
  <si>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</si>
  <si>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</si>
  <si>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</si>
  <si>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</si>
  <si>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</si>
  <si>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</si>
  <si>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</si>
  <si>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</si>
  <si>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</si>
  <si>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</si>
  <si>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</si>
  <si>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</si>
  <si>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</si>
  <si>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</si>
  <si>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</si>
  <si>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</si>
  <si>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</si>
  <si>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</si>
  <si>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</si>
  <si>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</si>
  <si>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</si>
  <si>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</si>
  <si>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</si>
  <si>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</si>
  <si>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</si>
  <si>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</si>
  <si>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</si>
  <si>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</si>
  <si>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</si>
  <si>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</si>
  <si>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</si>
  <si>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</si>
  <si>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</si>
  <si>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</si>
  <si>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</si>
  <si>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</si>
  <si>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</si>
  <si>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</si>
  <si>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</si>
  <si>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</si>
  <si>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</si>
  <si>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</si>
  <si>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</si>
  <si>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</si>
  <si>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</si>
  <si>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</si>
  <si>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</si>
  <si>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</si>
  <si>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</si>
  <si>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</si>
  <si>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</si>
  <si>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</si>
  <si>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</si>
  <si>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</si>
  <si>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</si>
  <si>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</si>
  <si>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</si>
  <si>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</si>
  <si>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</si>
  <si>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</si>
  <si>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</si>
  <si>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</si>
  <si>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</si>
  <si>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</si>
  <si>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</si>
  <si>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</si>
  <si>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</si>
  <si>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</si>
  <si>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</si>
  <si>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</si>
  <si>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</si>
  <si>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</si>
  <si>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</si>
  <si>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</si>
  <si>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</si>
  <si>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</si>
  <si>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</si>
  <si>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</si>
  <si>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</si>
  <si>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</si>
  <si>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</si>
  <si>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</si>
  <si>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</si>
  <si>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</si>
  <si>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</si>
  <si>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</si>
  <si>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</si>
  <si>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</si>
  <si>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</si>
  <si>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</si>
  <si>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</si>
  <si>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</si>
  <si>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</si>
  <si>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</si>
  <si>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</si>
  <si>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</si>
  <si>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</si>
  <si>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</si>
  <si>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</si>
  <si>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</si>
  <si>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</si>
  <si>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</si>
  <si>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</si>
  <si>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</si>
  <si>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</si>
  <si>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</si>
  <si>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</si>
  <si>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</si>
  <si>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</si>
  <si>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</si>
  <si>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</si>
  <si>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</si>
  <si>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</si>
  <si>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</si>
  <si>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</si>
  <si>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</si>
  <si>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</si>
  <si>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</si>
  <si>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</si>
  <si>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</si>
  <si>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</si>
  <si>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</si>
  <si>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</si>
  <si>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</si>
  <si>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</si>
  <si>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</si>
  <si>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</si>
  <si>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</si>
  <si>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</si>
  <si>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</si>
  <si>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</si>
  <si>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</si>
  <si>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</si>
  <si>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</si>
  <si>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</si>
  <si>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</si>
  <si>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</si>
  <si>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</si>
  <si>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</si>
  <si>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</si>
  <si>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</si>
  <si>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</si>
  <si>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</si>
  <si>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</si>
  <si>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</si>
  <si>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</si>
  <si>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</si>
  <si>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</si>
  <si>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</si>
  <si>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</si>
  <si>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</si>
  <si>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</si>
  <si>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</si>
  <si>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</si>
  <si>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</si>
  <si>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</si>
  <si>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</si>
  <si>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</si>
  <si>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</si>
  <si>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</si>
  <si>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</si>
  <si>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</si>
  <si>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</si>
  <si>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</si>
  <si>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</si>
  <si>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</si>
  <si>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</si>
  <si>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</si>
  <si>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</si>
  <si>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</si>
  <si>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</si>
  <si>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</si>
  <si>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</si>
  <si>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</si>
  <si>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</si>
  <si>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</si>
  <si>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</si>
  <si>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</si>
  <si>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</si>
  <si>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</si>
  <si>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</si>
  <si>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</si>
  <si>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</si>
  <si>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</si>
  <si>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</si>
  <si>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</si>
  <si>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</si>
  <si>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</si>
  <si>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</si>
  <si>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</si>
  <si>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</si>
  <si>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</si>
  <si>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</si>
  <si>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</si>
  <si>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</si>
  <si>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</si>
  <si>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</si>
  <si>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</si>
  <si>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</si>
  <si>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</si>
  <si>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</si>
  <si>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</si>
  <si>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</si>
  <si>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</si>
  <si>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</si>
  <si>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</si>
  <si>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</si>
  <si>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</si>
  <si>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</si>
  <si>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</si>
  <si>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</si>
  <si>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</si>
  <si>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</si>
  <si>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</si>
  <si>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</si>
  <si>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</si>
  <si>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</si>
  <si>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</si>
  <si>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</si>
  <si>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</si>
  <si>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</si>
  <si>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</si>
  <si>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</si>
  <si>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</si>
  <si>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</si>
  <si>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</si>
  <si>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</si>
  <si>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</si>
  <si>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</si>
  <si>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</si>
  <si>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</si>
  <si>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</si>
  <si>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</si>
  <si>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</si>
  <si>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</si>
  <si>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</si>
  <si>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</si>
  <si>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</si>
  <si>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</si>
  <si>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</si>
  <si>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</si>
  <si>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</si>
  <si>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</si>
  <si>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</si>
  <si>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</si>
  <si>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</si>
  <si>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</si>
  <si>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</si>
  <si>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</si>
  <si>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</si>
  <si>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</si>
  <si>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</si>
  <si>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</si>
  <si>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</si>
  <si>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</si>
  <si>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</si>
  <si>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</si>
  <si>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</si>
  <si>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</si>
  <si>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</si>
  <si>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</si>
  <si>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</si>
  <si>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</si>
  <si>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</si>
  <si>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</si>
  <si>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</si>
  <si>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</si>
  <si>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</si>
  <si>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</si>
  <si>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</si>
  <si>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</si>
  <si>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</si>
  <si>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</si>
  <si>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</si>
  <si>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</si>
  <si>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</si>
  <si>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</si>
  <si>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</si>
  <si>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</si>
  <si>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</si>
  <si>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</si>
  <si>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</si>
  <si>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</si>
  <si>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</si>
  <si>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</si>
  <si>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</si>
  <si>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</si>
  <si>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</si>
  <si>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</si>
  <si>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</si>
  <si>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</si>
  <si>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</si>
  <si>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</si>
  <si>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</si>
  <si>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</si>
  <si>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</si>
  <si>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</si>
  <si>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</si>
  <si>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</si>
  <si>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</si>
  <si>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</si>
  <si>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</si>
  <si>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</si>
  <si>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</si>
  <si>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</si>
  <si>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</si>
  <si>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</si>
  <si>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</si>
  <si>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</si>
  <si>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</si>
  <si>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</si>
  <si>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</si>
  <si>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</si>
  <si>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</si>
  <si>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</si>
  <si>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</si>
  <si>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</si>
  <si>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</si>
  <si>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</si>
  <si>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</si>
  <si>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</si>
  <si>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</si>
  <si>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</si>
  <si>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</si>
  <si>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0806.HK</t>
  </si>
  <si>
    <t>VALUE PARTNERS</t>
  </si>
  <si>
    <t>It's a HK listed hedge fund with net realizable assets higher than its market cap and a potentially profitable cyclical business.</t>
  </si>
  <si>
    <t>1. Strong BS that will withstand the current bad perfomance.
2. Negative EV with lots of Monetary investments.
3. Low operating expenses in a cyclical business.</t>
  </si>
  <si>
    <t>The performance is at a historical low point, which ,given its strong BS and business, would likely give rise to the reversion to mean effect at the market recovery.</t>
  </si>
  <si>
    <t>1. The AUM has fallen so much to a point that the company is no longer operatingly profitable
2. depends largely on uncontrolable market performance.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</si>
  <si>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</si>
  <si>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</si>
  <si>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</si>
  <si>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</si>
  <si>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estimated using a PB of 1.45</t>
  </si>
  <si>
    <t>HK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</si>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</sst>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24741</c:v>
                </c:pt>
                <c:pt idx="2" formatCode="#,##0">
                  <c:v>70692</c:v>
                </c:pt>
                <c:pt idx="3" formatCode="#,##0">
                  <c:v>-7605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111349</c:v>
                </c:pt>
                <c:pt idx="1" formatCode="#,##0">
                  <c:v>408118</c:v>
                </c:pt>
                <c:pt idx="2" formatCode="#,##0">
                  <c:v>630728</c:v>
                </c:pt>
                <c:pt idx="3" formatCode="#,##0">
                  <c:v>147631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22027</c:v>
                </c:pt>
                <c:pt idx="3" formatCode="#,##0">
                  <c:v>58246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513409</c:v>
                </c:pt>
                <c:pt idx="1" formatCode="#,##0">
                  <c:v>1379475</c:v>
                </c:pt>
                <c:pt idx="2" formatCode="#,##0">
                  <c:v>457813</c:v>
                </c:pt>
                <c:pt idx="3" formatCode="#,##0">
                  <c:v>-544315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zoomScaleNormal="100" workbookViewId="0">
      <selection activeCell="F53" sqref="F53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0806.HK : VALUE PARTNERS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1" t="s">
        <v>395</v>
      </c>
      <c r="D3" s="352"/>
      <c r="E3" s="6"/>
      <c r="G3" s="7" t="s">
        <v>2</v>
      </c>
      <c r="I3" s="360" t="s">
        <v>3</v>
      </c>
      <c r="J3" s="360"/>
    </row>
    <row r="4" spans="1:12" ht="15.75" customHeight="1">
      <c r="B4" s="5" t="s">
        <v>4</v>
      </c>
      <c r="C4" s="353" t="s">
        <v>396</v>
      </c>
      <c r="D4" s="322"/>
      <c r="E4" s="6"/>
      <c r="G4" s="5" t="s">
        <v>5</v>
      </c>
      <c r="I4" s="221">
        <v>2.59</v>
      </c>
      <c r="J4" s="222" t="s">
        <v>6</v>
      </c>
      <c r="K4" s="92"/>
    </row>
    <row r="5" spans="1:12" ht="15.75" customHeight="1">
      <c r="B5" s="5" t="s">
        <v>7</v>
      </c>
      <c r="C5" s="354">
        <v>44771</v>
      </c>
      <c r="D5" s="322"/>
      <c r="E5" s="79" t="str">
        <f ca="1">IF(C5+30&gt;=TODAY(),"Patience Premium","")</f>
        <v/>
      </c>
      <c r="G5" s="5" t="s">
        <v>8</v>
      </c>
      <c r="I5" s="321">
        <v>1826710016</v>
      </c>
      <c r="J5" s="321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61">
        <f>I4*I5/1000000</f>
        <v>4731.17894144</v>
      </c>
      <c r="J6" s="361"/>
      <c r="K6" s="91"/>
    </row>
    <row r="7" spans="1:12" ht="15.75" customHeight="1">
      <c r="B7" s="86" t="s">
        <v>10</v>
      </c>
      <c r="C7" s="218">
        <f>(Data!C42*Exchange_Rate)/I4</f>
        <v>3.1203850420222418E-2</v>
      </c>
      <c r="D7" s="218">
        <f>(Data!C43*Exchange_Rate)/I4</f>
        <v>1.2311096392873278E-2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 t="str">
        <f>IF(Data!F3&lt;=0,"NNI",I4/((Data!F3*I12)/(I5/Data!C4)))</f>
        <v>NNI</v>
      </c>
      <c r="J9" s="166" t="str">
        <f>IF(I9="NNI","NNI",1/I9)</f>
        <v>NNI</v>
      </c>
    </row>
    <row r="10" spans="1:12" ht="15.75" customHeight="1">
      <c r="B10" s="3" t="s">
        <v>226</v>
      </c>
      <c r="C10" s="122" t="s">
        <v>406</v>
      </c>
      <c r="D10" s="122">
        <v>3.8149999999999996E-2</v>
      </c>
      <c r="E10" s="5"/>
      <c r="G10" s="85" t="s">
        <v>329</v>
      </c>
      <c r="H10" s="84"/>
      <c r="I10" s="165">
        <f>I4/(Data!C29*I12*Data!C4/Common_Shares)</f>
        <v>1.0527301842753289</v>
      </c>
      <c r="J10" s="223">
        <f>I4/(Data!C7*Data!C4/Common_Shares*Exchange_Rate)</f>
        <v>8.0938082252973675</v>
      </c>
    </row>
    <row r="11" spans="1:12" ht="15.75" customHeight="1" thickBot="1">
      <c r="B11" s="124" t="s">
        <v>227</v>
      </c>
      <c r="C11" s="331">
        <f ca="1">C12-D10</f>
        <v>2.1850000000000001E-2</v>
      </c>
      <c r="D11" s="332"/>
      <c r="E11" s="13"/>
      <c r="G11" s="5" t="s">
        <v>14</v>
      </c>
      <c r="H11" s="6"/>
      <c r="I11" s="360" t="s">
        <v>6</v>
      </c>
      <c r="J11" s="360"/>
    </row>
    <row r="12" spans="1:12" ht="15.75" customHeight="1" thickTop="1">
      <c r="B12" s="125" t="s">
        <v>124</v>
      </c>
      <c r="C12" s="367">
        <f ca="1">IF(C10="CN",8%,6%)*IF($C$5+30&gt;=TODAY(),1.2,1)</f>
        <v>0.06</v>
      </c>
      <c r="D12" s="368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1.960058740220908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2.59</v>
      </c>
      <c r="C16" s="347">
        <v>0.2</v>
      </c>
      <c r="D16" s="238">
        <f ca="1">I37/B16-(1+C16)</f>
        <v>-0.12837097357858829</v>
      </c>
      <c r="E16" s="341" t="s">
        <v>21</v>
      </c>
      <c r="F16" s="362">
        <f>(Val_Models!G16)*Exchange_Rate</f>
        <v>1.7329200378129421</v>
      </c>
      <c r="G16" s="341" t="s">
        <v>22</v>
      </c>
      <c r="H16" s="239">
        <f>B16-$F$16</f>
        <v>0.85707996218705773</v>
      </c>
      <c r="I16" s="336">
        <v>3.4000000000000002E-2</v>
      </c>
      <c r="J16" s="166">
        <f>I16/B16</f>
        <v>1.312741312741313E-2</v>
      </c>
    </row>
    <row r="17" spans="1:10" ht="15.75" customHeight="1">
      <c r="B17" s="116">
        <f ca="1">MIN((I37+I38)/2,I37/(1+C16), IF(J20=0,E14,I37/(1+C16)))</f>
        <v>2.1717830853040914</v>
      </c>
      <c r="C17" s="348"/>
      <c r="D17" s="149">
        <f ca="1">I37/B17-(1+C16)</f>
        <v>7.7990973045464429E-2</v>
      </c>
      <c r="E17" s="342"/>
      <c r="F17" s="363"/>
      <c r="G17" s="342"/>
      <c r="H17" s="236">
        <f ca="1">B17-$F$16</f>
        <v>0.43886304749114924</v>
      </c>
      <c r="I17" s="337"/>
      <c r="J17" s="149">
        <f ca="1">I16/B17</f>
        <v>1.5655338799749122E-2</v>
      </c>
    </row>
    <row r="18" spans="1:10" ht="15.75" customHeight="1">
      <c r="B18" s="129">
        <f>C37</f>
        <v>1.89</v>
      </c>
      <c r="C18" s="349"/>
      <c r="D18" s="237">
        <f ca="1">I37/B18-(1+C16)</f>
        <v>0.26852866583674961</v>
      </c>
      <c r="E18" s="343"/>
      <c r="F18" s="364"/>
      <c r="G18" s="343"/>
      <c r="H18" s="98">
        <f>B18-$F$16</f>
        <v>0.15707996218705778</v>
      </c>
      <c r="I18" s="338"/>
      <c r="J18" s="158">
        <f>I16/B18</f>
        <v>1.7989417989417993E-2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335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57" t="s">
        <v>397</v>
      </c>
      <c r="D21" s="358"/>
      <c r="E21" s="359"/>
      <c r="F21" s="359"/>
      <c r="G21" s="359"/>
      <c r="H21" s="359"/>
      <c r="I21" s="359"/>
      <c r="J21" s="359"/>
    </row>
    <row r="22" spans="1:10" ht="52.5" customHeight="1">
      <c r="A22" s="6"/>
      <c r="B22" s="19" t="s">
        <v>25</v>
      </c>
      <c r="C22" s="366" t="s">
        <v>398</v>
      </c>
      <c r="D22" s="352"/>
      <c r="E22" s="352"/>
      <c r="F22" s="352"/>
      <c r="G22" s="366" t="s">
        <v>400</v>
      </c>
      <c r="H22" s="366"/>
      <c r="I22" s="352"/>
      <c r="J22" s="352"/>
    </row>
    <row r="23" spans="1:10" ht="52.5" customHeight="1">
      <c r="A23" s="6"/>
      <c r="B23" s="138" t="s">
        <v>26</v>
      </c>
      <c r="C23" s="339" t="s">
        <v>399</v>
      </c>
      <c r="D23" s="340"/>
      <c r="E23" s="340"/>
      <c r="F23" s="340"/>
      <c r="G23" s="339" t="s">
        <v>401</v>
      </c>
      <c r="H23" s="339"/>
      <c r="I23" s="340"/>
      <c r="J23" s="340"/>
    </row>
    <row r="24" spans="1:10" ht="52.5" customHeight="1">
      <c r="A24" s="6"/>
      <c r="B24" s="19" t="s">
        <v>291</v>
      </c>
      <c r="C24" s="369"/>
      <c r="D24" s="369"/>
      <c r="E24" s="369"/>
      <c r="F24" s="369"/>
      <c r="G24" s="369"/>
      <c r="H24" s="369"/>
      <c r="I24" s="369"/>
      <c r="J24" s="369"/>
    </row>
    <row r="25" spans="1:10" ht="52.5" customHeight="1">
      <c r="A25" s="6"/>
      <c r="B25" s="138" t="s">
        <v>290</v>
      </c>
      <c r="C25" s="370"/>
      <c r="D25" s="370"/>
      <c r="E25" s="370"/>
      <c r="F25" s="370"/>
      <c r="G25" s="370"/>
      <c r="H25" s="370"/>
      <c r="I25" s="370"/>
      <c r="J25" s="3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55"/>
      <c r="D28" s="356"/>
      <c r="E28" s="346" t="str">
        <f>IF(C28="","","Action_Planning")</f>
        <v/>
      </c>
      <c r="F28" s="346"/>
      <c r="G28" s="346"/>
      <c r="H28" s="346"/>
      <c r="I28" s="365" t="s">
        <v>30</v>
      </c>
      <c r="J28" s="365"/>
    </row>
    <row r="29" spans="1:10" ht="15.75" customHeight="1">
      <c r="B29" s="18" t="s">
        <v>31</v>
      </c>
      <c r="C29" s="335">
        <f>C33/D27</f>
        <v>0.17181818181818181</v>
      </c>
      <c r="D29" s="329"/>
      <c r="E29" s="334">
        <f>E33/D27</f>
        <v>0</v>
      </c>
      <c r="F29" s="329"/>
      <c r="G29" s="345">
        <f>G33/D27</f>
        <v>0</v>
      </c>
      <c r="H29" s="345"/>
      <c r="I29" s="344">
        <f>C29+E29+G29</f>
        <v>0.17181818181818181</v>
      </c>
      <c r="J29" s="344"/>
    </row>
    <row r="30" spans="1:10" ht="15.75" customHeight="1">
      <c r="B30" s="18" t="s">
        <v>32</v>
      </c>
      <c r="C30" s="321">
        <v>60000</v>
      </c>
      <c r="D30" s="322"/>
      <c r="E30" s="321"/>
      <c r="F30" s="322"/>
      <c r="G30" s="321"/>
      <c r="H30" s="321"/>
      <c r="I30" s="350">
        <f>C30+E30+G30</f>
        <v>60000</v>
      </c>
      <c r="J30" s="350"/>
    </row>
    <row r="31" spans="1:10" ht="15.75" customHeight="1">
      <c r="B31" s="18" t="s">
        <v>33</v>
      </c>
      <c r="C31" s="323">
        <v>1.89</v>
      </c>
      <c r="D31" s="322"/>
      <c r="E31" s="323"/>
      <c r="F31" s="322"/>
      <c r="G31" s="323"/>
      <c r="H31" s="323"/>
      <c r="I31" s="333"/>
      <c r="J31" s="333"/>
    </row>
    <row r="32" spans="1:10" ht="15.75" customHeight="1">
      <c r="B32" s="18" t="s">
        <v>34</v>
      </c>
      <c r="C32" s="330">
        <f>C31*$I$5/1000000</f>
        <v>3452.4819302399997</v>
      </c>
      <c r="D32" s="329"/>
      <c r="E32" s="330">
        <f>E31*$I$5/1000000</f>
        <v>0</v>
      </c>
      <c r="F32" s="329"/>
      <c r="G32" s="330">
        <f>G31*$I$5/1000000</f>
        <v>0</v>
      </c>
      <c r="H32" s="330"/>
      <c r="I32" s="333"/>
      <c r="J32" s="333"/>
    </row>
    <row r="33" spans="2:11" ht="15.75" customHeight="1">
      <c r="B33" s="2" t="s">
        <v>35</v>
      </c>
      <c r="C33" s="326">
        <f>C30*C31</f>
        <v>113400</v>
      </c>
      <c r="D33" s="327"/>
      <c r="E33" s="326">
        <f>E30*E31</f>
        <v>0</v>
      </c>
      <c r="F33" s="327"/>
      <c r="G33" s="326">
        <f>G30*G31</f>
        <v>0</v>
      </c>
      <c r="H33" s="326"/>
      <c r="I33" s="326">
        <f>C33+E33+G33</f>
        <v>113400</v>
      </c>
      <c r="J33" s="326"/>
    </row>
    <row r="34" spans="2:11" ht="15.75" customHeight="1">
      <c r="B34" s="1" t="s">
        <v>36</v>
      </c>
      <c r="C34" s="333"/>
      <c r="D34" s="376"/>
      <c r="E34" s="328">
        <f>IF(C33=0,"-",(C33+E33)/(C30+E30))</f>
        <v>1.89</v>
      </c>
      <c r="F34" s="329"/>
      <c r="G34" s="78"/>
      <c r="H34" s="78"/>
      <c r="I34" s="328">
        <f>IF(I33=0,"",I33/I30)</f>
        <v>1.89</v>
      </c>
      <c r="J34" s="328"/>
    </row>
    <row r="35" spans="2:11" ht="15.75" customHeight="1">
      <c r="B35" s="1" t="s">
        <v>37</v>
      </c>
      <c r="C35" s="377"/>
      <c r="D35" s="378"/>
      <c r="E35" s="324">
        <f>IF(E34="-","-",E34*$I$5/1000000)</f>
        <v>3452.4819302399997</v>
      </c>
      <c r="F35" s="325"/>
      <c r="G35" s="230"/>
      <c r="H35" s="230"/>
      <c r="I35" s="324">
        <f>IF(I34="","",I34*$I$5/1000000)</f>
        <v>3452.4819302399997</v>
      </c>
      <c r="J35" s="324"/>
    </row>
    <row r="36" spans="2:11" ht="15.75" customHeight="1"/>
    <row r="37" spans="2:11" ht="15.75" customHeight="1">
      <c r="B37" s="87" t="s">
        <v>255</v>
      </c>
      <c r="C37" s="374">
        <f>C31</f>
        <v>1.89</v>
      </c>
      <c r="D37" s="375"/>
      <c r="E37" s="79" t="str">
        <f ca="1">IF(C37&gt;B17,"Caution! &gt; Breakeven price!","")</f>
        <v/>
      </c>
      <c r="F37" s="6"/>
      <c r="G37" s="371" t="s">
        <v>315</v>
      </c>
      <c r="H37" s="371"/>
      <c r="I37" s="372">
        <f ca="1">Val_Models!C46</f>
        <v>2.7755191784314563</v>
      </c>
      <c r="J37" s="373"/>
    </row>
    <row r="38" spans="2:11" ht="15.75" customHeight="1">
      <c r="B38" s="87" t="s">
        <v>280</v>
      </c>
      <c r="C38" s="374">
        <f>E34</f>
        <v>1.89</v>
      </c>
      <c r="D38" s="375"/>
      <c r="E38" s="6"/>
      <c r="F38" s="6"/>
      <c r="G38" s="371" t="s">
        <v>279</v>
      </c>
      <c r="H38" s="371"/>
      <c r="I38" s="372">
        <f ca="1">Val_Models!C47</f>
        <v>1.5680469921767264</v>
      </c>
      <c r="J38" s="3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0.64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0.5228401360544217</v>
      </c>
      <c r="G43" s="77"/>
      <c r="H43" s="77"/>
      <c r="I43" s="77"/>
      <c r="J43" s="77"/>
    </row>
    <row r="44" spans="2:11" ht="15.75" customHeight="1">
      <c r="B44" s="3" t="s">
        <v>334</v>
      </c>
      <c r="C44" s="6"/>
      <c r="D44" s="6"/>
      <c r="E44" s="6"/>
      <c r="F44" s="171">
        <f>AVERAGE(Asset_Model!J28/4,1-Asset_Model!I56)</f>
        <v>0.9893703655258268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0.46852866583674957</v>
      </c>
      <c r="F47" s="171">
        <f ca="1">I37/C38-1</f>
        <v>0.46852866583674957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-0.17034550678480076</v>
      </c>
      <c r="F48" s="171">
        <f ca="1">Val_Models!C47/C38-1</f>
        <v>-0.17034550678480076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0.64026041622124463</v>
      </c>
      <c r="F50" s="171">
        <f ca="1">IF(F47&lt;=0,0,AVERAGE(F41:F44,0.5*(1+F47+F48-C16)))</f>
        <v>0.64026041622124463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2.750460958319533</v>
      </c>
      <c r="F51" s="234">
        <f ca="1">IF(F48&gt;=0,100,F47/ABS(F48))</f>
        <v>2.750460958319533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2.8883603921046426</v>
      </c>
      <c r="F52" s="232">
        <f ca="1">MAX(C16*2.5/F47,1)+IF(F47&lt;C16,100,0)+IF(D18&lt;0,100,0)+IF(J20=1,2/(1+F47+F48-C16),0)</f>
        <v>2.8883603921046426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0.17638655726768057</v>
      </c>
      <c r="F53" s="217">
        <f ca="1">MIN(MAX(F50-ABS((1-F50)/F51),0)/F52,H53)</f>
        <v>0.17638655726768057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389</v>
      </c>
    </row>
    <row r="65" spans="2:2" ht="15.75" customHeight="1">
      <c r="B65" s="3" t="s">
        <v>391</v>
      </c>
    </row>
    <row r="66" spans="2:2" ht="15.75" customHeight="1">
      <c r="B66" s="3" t="s">
        <v>390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4" sqref="C4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-544315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-103795.5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584543</v>
      </c>
      <c r="D7" s="160">
        <v>1281649</v>
      </c>
      <c r="E7" s="160">
        <v>2561449</v>
      </c>
      <c r="F7" s="160">
        <v>1603918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-0.54391334913069023</v>
      </c>
      <c r="D8" s="149">
        <f t="shared" si="1"/>
        <v>-0.49963907147868258</v>
      </c>
      <c r="E8" s="149">
        <f t="shared" si="1"/>
        <v>0.59699498353407088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252590+330088+20483</f>
        <v>603161</v>
      </c>
      <c r="D9" s="148">
        <f>526235+389543+23748</f>
        <v>939526</v>
      </c>
      <c r="E9" s="148">
        <f>510820+672911+31145</f>
        <v>1214876</v>
      </c>
      <c r="F9" s="148">
        <f>807946+400167+29677</f>
        <v>1237790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-3.1850522544962477E-2</v>
      </c>
      <c r="D10" s="149">
        <f t="shared" si="2"/>
        <v>0.26693970033917241</v>
      </c>
      <c r="E10" s="149">
        <f t="shared" si="2"/>
        <v>0.52570751945480854</v>
      </c>
      <c r="F10" s="149">
        <f t="shared" si="2"/>
        <v>0.22827102133650223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119776</f>
        <v>119776</v>
      </c>
      <c r="D11" s="148">
        <f>99374</f>
        <v>99374</v>
      </c>
      <c r="E11" s="148">
        <v>111672</v>
      </c>
      <c r="F11" s="148">
        <v>113876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0.20490537052021834</v>
      </c>
      <c r="D12" s="149">
        <f t="shared" si="3"/>
        <v>7.7536049261537288E-2</v>
      </c>
      <c r="E12" s="149">
        <f t="shared" si="3"/>
        <v>4.3597198304553331E-2</v>
      </c>
      <c r="F12" s="149">
        <f t="shared" si="3"/>
        <v>7.0998642075218305E-2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-0.23675589306518083</v>
      </c>
      <c r="D13" s="149">
        <f t="shared" si="4"/>
        <v>0.18940365107763513</v>
      </c>
      <c r="E13" s="149">
        <f t="shared" si="4"/>
        <v>0.48211032115025521</v>
      </c>
      <c r="F13" s="149">
        <f t="shared" si="4"/>
        <v>0.15727237926128393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-138394</v>
      </c>
      <c r="D14" s="51">
        <f t="shared" si="5"/>
        <v>242749</v>
      </c>
      <c r="E14" s="51">
        <f t="shared" si="5"/>
        <v>1234901</v>
      </c>
      <c r="F14" s="51">
        <f t="shared" si="5"/>
        <v>252252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 t="str">
        <f>IF(D14="","",IF(ABS(C14+D14)=ABS(C14)+ABS(D14),IF(C14&lt;0,-1,1)*(C14-D14)/D14,"Turn"))</f>
        <v>Turn</v>
      </c>
      <c r="D15" s="149">
        <f t="shared" ref="D15:M15" si="6">IF(E14="","",IF(ABS(D14+E14)=ABS(D14)+ABS(E14),IF(D14&lt;0,-1,1)*(D14-E14)/E14,"Turn"))</f>
        <v>-0.80342634753717102</v>
      </c>
      <c r="E15" s="149">
        <f t="shared" si="6"/>
        <v>3.8955052883624313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IF(C14="","",C14*(1-Projections!$F$17))</f>
        <v>-103795.5</v>
      </c>
      <c r="D16" s="51">
        <f>IF(D14="","",D14*(1-Projections!$F$17))</f>
        <v>182061.75</v>
      </c>
      <c r="E16" s="51">
        <f>IF(E14="","",E14*(1-Projections!$F$17))</f>
        <v>926175.75</v>
      </c>
      <c r="F16" s="51">
        <f>IF(F14="","",F14*(1-Projections!$F$17))</f>
        <v>189189</v>
      </c>
      <c r="G16" s="51" t="str">
        <f>IF(G14="","",G14*(1-Projections!$F$17))</f>
        <v/>
      </c>
      <c r="H16" s="51" t="str">
        <f>IF(H14="","",H14*(1-Projections!$F$17))</f>
        <v/>
      </c>
      <c r="I16" s="51" t="str">
        <f>IF(I14="","",I14*(1-Projections!$F$17))</f>
        <v/>
      </c>
      <c r="J16" s="51" t="str">
        <f>IF(J14="","",J14*(1-Projections!$F$17))</f>
        <v/>
      </c>
      <c r="K16" s="51" t="str">
        <f>IF(K14="","",K14*(1-Projections!$F$17))</f>
        <v/>
      </c>
      <c r="L16" s="51" t="str">
        <f>IF(L14="","",L14*(1-Projections!$F$17))</f>
        <v/>
      </c>
      <c r="M16" s="51" t="str">
        <f>IF(M14="","",M14*(1-Projections!$F$17))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-0.17756691979888561</v>
      </c>
      <c r="D17" s="149">
        <f t="shared" si="7"/>
        <v>0.14205273830822635</v>
      </c>
      <c r="E17" s="149">
        <f t="shared" si="7"/>
        <v>0.36158274086269138</v>
      </c>
      <c r="F17" s="149">
        <f t="shared" si="7"/>
        <v>0.11795428444596295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5293</v>
      </c>
      <c r="D18" s="148">
        <v>3968</v>
      </c>
      <c r="E18" s="148">
        <v>3450</v>
      </c>
      <c r="F18" s="148">
        <v>5627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-544315</v>
      </c>
      <c r="D19" s="148">
        <v>457813</v>
      </c>
      <c r="E19" s="148">
        <v>1379475</v>
      </c>
      <c r="F19" s="148">
        <v>513409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 t="str">
        <f>IF(D19="","",IF(ABS(C19+D19)=ABS(C19)+ABS(D19),IF(C19&lt;0,-1,1)*(C19-D19)/D19,"Turn"))</f>
        <v>Turn</v>
      </c>
      <c r="D20" s="149">
        <f t="shared" ref="D20:M20" si="8">IF(E19="","",IF(ABS(D19+E19)=ABS(D19)+ABS(E19),IF(D19&lt;0,-1,1)*(D19-E19)/E19,"Turn"))</f>
        <v>-0.66812519255513869</v>
      </c>
      <c r="E20" s="149">
        <f t="shared" si="8"/>
        <v>1.6868929060456672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370</v>
      </c>
      <c r="C21" s="150">
        <v>4747857</v>
      </c>
      <c r="D21" s="148">
        <v>5670342</v>
      </c>
      <c r="E21" s="148">
        <v>6298813</v>
      </c>
      <c r="F21" s="148">
        <v>4912745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2035684</v>
      </c>
      <c r="D22" s="148">
        <v>1971613</v>
      </c>
      <c r="E22" s="148">
        <v>3670507</v>
      </c>
      <c r="F22" s="148">
        <v>2865345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235020</v>
      </c>
      <c r="D23" s="148">
        <v>285909</v>
      </c>
      <c r="E23" s="148">
        <v>828810</v>
      </c>
      <c r="F23" s="148">
        <v>420078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95576</v>
      </c>
      <c r="D24" s="148">
        <v>19771</v>
      </c>
      <c r="E24" s="148">
        <v>98956</v>
      </c>
      <c r="F24" s="148">
        <v>28056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19522</v>
      </c>
      <c r="D25" s="152">
        <v>19771</v>
      </c>
      <c r="E25" s="152">
        <v>12457</v>
      </c>
      <c r="F25" s="152">
        <v>28056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9661</v>
      </c>
      <c r="D26" s="148">
        <v>108512</v>
      </c>
      <c r="E26" s="148">
        <v>775</v>
      </c>
      <c r="F26" s="148">
        <v>92873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9661</v>
      </c>
      <c r="D27" s="152">
        <v>25878</v>
      </c>
      <c r="E27" s="152">
        <v>775</v>
      </c>
      <c r="F27" s="152">
        <v>12335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105237</v>
      </c>
      <c r="D28" s="51">
        <f t="shared" si="9"/>
        <v>128283</v>
      </c>
      <c r="E28" s="51">
        <f t="shared" si="9"/>
        <v>99731</v>
      </c>
      <c r="F28" s="51">
        <f t="shared" si="9"/>
        <v>120929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4494199</v>
      </c>
      <c r="D29" s="148">
        <v>5264755</v>
      </c>
      <c r="E29" s="148">
        <v>5418042</v>
      </c>
      <c r="F29" s="148">
        <v>4389444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4494199</v>
      </c>
      <c r="D30" s="152">
        <v>5264755</v>
      </c>
      <c r="E30" s="152">
        <v>5418042</v>
      </c>
      <c r="F30" s="152">
        <v>4389444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345</v>
      </c>
      <c r="C31" s="150">
        <v>197348</v>
      </c>
      <c r="D31" s="148">
        <v>238398</v>
      </c>
      <c r="E31" s="148">
        <v>208555</v>
      </c>
      <c r="F31" s="148">
        <v>235491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1666461</v>
      </c>
      <c r="D32" s="148">
        <v>1665937</v>
      </c>
      <c r="E32" s="148">
        <v>1974408</v>
      </c>
      <c r="F32" s="148">
        <v>2200778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393</v>
      </c>
      <c r="C33" s="161">
        <f>C31-D31+Projections!F21</f>
        <v>-7605</v>
      </c>
      <c r="D33" s="161">
        <f>D31-E31+Projections!E21</f>
        <v>70692</v>
      </c>
      <c r="E33" s="161">
        <f>E31-F31+Projections!D21</f>
        <v>24741</v>
      </c>
      <c r="F33" s="161"/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364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0</v>
      </c>
      <c r="E35" s="154">
        <f>IF(F7="","",IF(E8&lt;0,0,(E7-F7)*Asset_Model!$D$68))</f>
        <v>95753.1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-7605</v>
      </c>
      <c r="D36" s="51">
        <f t="shared" si="11"/>
        <v>70692</v>
      </c>
      <c r="E36" s="51">
        <f t="shared" si="11"/>
        <v>120494.1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338</v>
      </c>
      <c r="C37" s="149">
        <f>IF(C36="","",C33/C7)</f>
        <v>-1.3010163495243292E-2</v>
      </c>
      <c r="D37" s="149">
        <f t="shared" ref="D37:M37" si="12">IF(D36="","",D33/D7)</f>
        <v>5.5157067184541164E-2</v>
      </c>
      <c r="E37" s="149">
        <f t="shared" si="12"/>
        <v>9.6589859880091312E-3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340</v>
      </c>
      <c r="C38" s="158">
        <f t="shared" ref="C38:M38" si="13">IF(C36="","",C33/C16)</f>
        <v>7.3269072358628271E-2</v>
      </c>
      <c r="D38" s="158">
        <f t="shared" si="13"/>
        <v>0.38828584257813625</v>
      </c>
      <c r="E38" s="158">
        <f t="shared" si="13"/>
        <v>2.6713072545896391E-2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147631</v>
      </c>
      <c r="D40" s="163">
        <v>630728</v>
      </c>
      <c r="E40" s="163">
        <v>408118</v>
      </c>
      <c r="F40" s="163">
        <v>111349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58246</v>
      </c>
      <c r="D41" s="161">
        <v>22027</v>
      </c>
      <c r="E41" s="161">
        <v>0</v>
      </c>
      <c r="F41" s="161">
        <v>3002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8.0817972588376058E-2</v>
      </c>
      <c r="D42" s="162">
        <f t="shared" si="14"/>
        <v>0.34528085710129486</v>
      </c>
      <c r="E42" s="162">
        <f t="shared" si="14"/>
        <v>0.22341696077939499</v>
      </c>
      <c r="F42" s="162">
        <f t="shared" si="14"/>
        <v>6.0956035180572417E-2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3.1885739657541788E-2</v>
      </c>
      <c r="D43" s="164">
        <f t="shared" si="15"/>
        <v>1.2058290482379443E-2</v>
      </c>
      <c r="E43" s="164">
        <f t="shared" si="15"/>
        <v>0</v>
      </c>
      <c r="F43" s="164">
        <f t="shared" si="15"/>
        <v>1.6433916569711304E-3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354</v>
      </c>
      <c r="C45" s="166">
        <f>IF(C30="","",(C21-C30)/C21)</f>
        <v>5.3425787676419069E-2</v>
      </c>
      <c r="D45" s="166">
        <f>IF(D30="","",(D21-D30)/D21)</f>
        <v>7.1527784391135496E-2</v>
      </c>
      <c r="E45" s="166">
        <f t="shared" ref="E45:M45" si="16">IF(E30="","",(E21-E30)/E21)</f>
        <v>0.13983126662118719</v>
      </c>
      <c r="F45" s="166">
        <f t="shared" si="16"/>
        <v>0.10651906418916512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366</v>
      </c>
      <c r="C46" s="149">
        <f t="shared" ref="C46:M46" si="17">IF(C30="","",C28/C30)</f>
        <v>2.3416186065637057E-2</v>
      </c>
      <c r="D46" s="149">
        <f t="shared" si="17"/>
        <v>2.436637602319576E-2</v>
      </c>
      <c r="E46" s="149">
        <f t="shared" si="17"/>
        <v>1.8407203192592453E-2</v>
      </c>
      <c r="F46" s="149">
        <f t="shared" si="17"/>
        <v>2.7549958491326007E-2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-1.3150697948440186</v>
      </c>
      <c r="D47" s="165">
        <f t="shared" si="18"/>
        <v>1.8922928213403178</v>
      </c>
      <c r="E47" s="165">
        <f t="shared" si="18"/>
        <v>12.382318436594439</v>
      </c>
      <c r="F47" s="165">
        <f t="shared" si="18"/>
        <v>2.0859512606570796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-3.8245877711461478E-2</v>
      </c>
      <c r="D48" s="149">
        <f>IF(D14="","",IF(D18&lt;=0,"-",D18/D14))</f>
        <v>1.6346102352635849E-2</v>
      </c>
      <c r="E48" s="149">
        <f t="shared" ref="E48:M48" si="19">IF(E14="","",IF(E18&lt;=0,"-",E18/E14))</f>
        <v>2.7937462193325618E-3</v>
      </c>
      <c r="F48" s="149">
        <f t="shared" si="19"/>
        <v>2.2307058021343737E-2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8.6617479363458436</v>
      </c>
      <c r="D49" s="167">
        <f t="shared" si="20"/>
        <v>6.8959459128603857</v>
      </c>
      <c r="E49" s="167">
        <f t="shared" si="20"/>
        <v>4.4286470964394731</v>
      </c>
      <c r="F49" s="167">
        <f t="shared" si="20"/>
        <v>6.8209832459686055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-0.23675589306518083</v>
      </c>
      <c r="D51" s="166">
        <f t="shared" si="21"/>
        <v>0.18940365107763513</v>
      </c>
      <c r="E51" s="166">
        <f t="shared" si="21"/>
        <v>0.48211032115025521</v>
      </c>
      <c r="F51" s="166">
        <f t="shared" si="21"/>
        <v>0.15727237926128393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0.12311722952060267</v>
      </c>
      <c r="D52" s="149">
        <f>IF(D7="","",D7/D21)</f>
        <v>0.22602675464725056</v>
      </c>
      <c r="E52" s="149">
        <f t="shared" ref="E52:M52" si="22">IF(E7="","",E7/E21)</f>
        <v>0.40665582547060852</v>
      </c>
      <c r="F52" s="149">
        <f t="shared" si="22"/>
        <v>0.32648102028499343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372</v>
      </c>
      <c r="C53" s="168">
        <f>C21/C29</f>
        <v>1.0564412034269066</v>
      </c>
      <c r="D53" s="168">
        <f>IF(D29="","",D21/D29)</f>
        <v>1.0770381527725412</v>
      </c>
      <c r="E53" s="168">
        <f t="shared" ref="E53:M53" si="23">IF(E29="","",E21/E29)</f>
        <v>1.1625626010281944</v>
      </c>
      <c r="F53" s="168">
        <f t="shared" si="23"/>
        <v>1.1192180604194972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371</v>
      </c>
      <c r="C54" s="149">
        <f>C51*C52*C53</f>
        <v>-3.07939190053667E-2</v>
      </c>
      <c r="D54" s="149">
        <f>IF(D51="","",D51*D52*D53)</f>
        <v>4.6108318430772177E-2</v>
      </c>
      <c r="E54" s="149">
        <f t="shared" ref="E54:M54" si="24">IF(E51="","",E51*E52*E53)</f>
        <v>0.22792385145777758</v>
      </c>
      <c r="F54" s="149">
        <f t="shared" si="24"/>
        <v>5.7467870646031705E-2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-2.256241879809951E-3</v>
      </c>
      <c r="D55" s="158">
        <f>IF(D38="","",D38*D54)</f>
        <v>1.7903207271753385E-2</v>
      </c>
      <c r="E55" s="158">
        <f t="shared" ref="E55:M55" si="25">IF(E38="","",E38*E54)</f>
        <v>6.0885463789317256E-3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337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323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4" zoomScaleNormal="100" workbookViewId="0">
      <selection activeCell="E10" sqref="E1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4434160</v>
      </c>
      <c r="E3" s="191" t="str">
        <f>IF((C49-I49)=D3,"", "Error!")</f>
        <v/>
      </c>
      <c r="F3" s="6"/>
      <c r="G3" s="6"/>
      <c r="H3" s="112" t="s">
        <v>216</v>
      </c>
      <c r="I3" s="163">
        <v>4434160</v>
      </c>
      <c r="K3" s="43"/>
    </row>
    <row r="4" spans="1:11" ht="15" customHeight="1">
      <c r="B4" s="5" t="s">
        <v>193</v>
      </c>
      <c r="C4" s="6"/>
      <c r="D4" s="186">
        <f>D3-I3</f>
        <v>0</v>
      </c>
      <c r="E4" s="90"/>
      <c r="F4" s="6"/>
      <c r="G4" s="6"/>
      <c r="H4" s="38" t="s">
        <v>71</v>
      </c>
      <c r="I4" s="139">
        <f>(I3*Dashboard!I12*Data!C4)/Dashboard!I5</f>
        <v>2.4274022483927737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3377290.5999999996</v>
      </c>
      <c r="E6" s="149">
        <f>1-D6/D3</f>
        <v>0.23834715030580778</v>
      </c>
      <c r="F6" s="6"/>
      <c r="G6" s="6"/>
      <c r="H6" s="3" t="s">
        <v>256</v>
      </c>
      <c r="I6" s="184">
        <f>C28/I28</f>
        <v>8.8556808649454748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1.8488378398424457</v>
      </c>
      <c r="E7" s="18" t="str">
        <f>Dashboard!J4</f>
        <v>HKD</v>
      </c>
      <c r="H7" s="3" t="s">
        <v>257</v>
      </c>
      <c r="I7" s="184">
        <f>C25/I28</f>
        <v>0.42123683474694751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8.4212321744803802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407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1521132</v>
      </c>
      <c r="D11" s="180">
        <v>1</v>
      </c>
      <c r="E11" s="51">
        <f t="shared" ref="E11:E21" si="0">C11*D11</f>
        <v>1521132</v>
      </c>
      <c r="F11" s="6"/>
      <c r="G11" s="6"/>
      <c r="H11" s="5" t="s">
        <v>79</v>
      </c>
      <c r="I11" s="179">
        <v>74134</v>
      </c>
      <c r="J11" s="6"/>
      <c r="K11" s="43"/>
    </row>
    <row r="12" spans="1:11" ht="14">
      <c r="B12" s="3" t="s">
        <v>80</v>
      </c>
      <c r="C12" s="179">
        <v>0</v>
      </c>
      <c r="D12" s="180">
        <v>1</v>
      </c>
      <c r="E12" s="51">
        <f t="shared" si="0"/>
        <v>0</v>
      </c>
      <c r="F12" s="6"/>
      <c r="G12" s="6"/>
      <c r="H12" s="5" t="s">
        <v>81</v>
      </c>
      <c r="I12" s="179">
        <v>18077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f>178006+107890</f>
        <v>285896</v>
      </c>
      <c r="D14" s="180">
        <v>0.7</v>
      </c>
      <c r="E14" s="51">
        <f t="shared" si="0"/>
        <v>200127.19999999998</v>
      </c>
      <c r="F14" s="6"/>
      <c r="G14" s="6"/>
      <c r="H14" s="6" t="s">
        <v>343</v>
      </c>
      <c r="I14" s="179">
        <v>0</v>
      </c>
      <c r="J14" s="6"/>
      <c r="K14" s="47"/>
    </row>
    <row r="15" spans="1:11" ht="14">
      <c r="B15" s="5" t="s">
        <v>86</v>
      </c>
      <c r="C15" s="179">
        <v>0</v>
      </c>
      <c r="D15" s="180">
        <v>0.5</v>
      </c>
      <c r="E15" s="51">
        <f t="shared" si="0"/>
        <v>0</v>
      </c>
      <c r="F15" s="6"/>
      <c r="G15" s="6"/>
      <c r="H15" s="5" t="s">
        <v>87</v>
      </c>
      <c r="I15" s="130">
        <f>I28-SUM(I11:I14)</f>
        <v>122369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342</v>
      </c>
      <c r="C17" s="179">
        <f>62793+27596</f>
        <v>90389</v>
      </c>
      <c r="D17" s="180">
        <v>0.9</v>
      </c>
      <c r="E17" s="51">
        <f t="shared" si="0"/>
        <v>81350.100000000006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0</v>
      </c>
      <c r="D18" s="180">
        <v>0.5</v>
      </c>
      <c r="E18" s="51">
        <f t="shared" si="0"/>
        <v>0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2835</v>
      </c>
      <c r="D21" s="180">
        <v>0.95</v>
      </c>
      <c r="E21" s="51">
        <f t="shared" si="0"/>
        <v>2693.25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383</v>
      </c>
      <c r="G23" s="6"/>
      <c r="H23" s="6"/>
      <c r="I23" s="6"/>
    </row>
    <row r="24" spans="2:10" ht="15" customHeight="1">
      <c r="B24" s="41" t="s">
        <v>373</v>
      </c>
      <c r="C24" s="182">
        <f>SUM(C11:C14)</f>
        <v>1807028</v>
      </c>
      <c r="D24" s="183">
        <f>IF(E24=0,0,E24/C24)</f>
        <v>0.95253598726749111</v>
      </c>
      <c r="E24" s="51">
        <f>SUM(E11:E14)</f>
        <v>1721259.2</v>
      </c>
      <c r="F24" s="233">
        <f>E24/$E$28</f>
        <v>0.95344639046790236</v>
      </c>
      <c r="G24" s="6"/>
      <c r="H24" s="3" t="s">
        <v>381</v>
      </c>
      <c r="I24" s="312">
        <f>I11+I12+I13</f>
        <v>92211</v>
      </c>
    </row>
    <row r="25" spans="2:10" ht="15" customHeight="1">
      <c r="B25" s="41" t="s">
        <v>377</v>
      </c>
      <c r="C25" s="182">
        <f>SUM(C15:C17)</f>
        <v>90389</v>
      </c>
      <c r="D25" s="183">
        <f>IF(E25=0,0,E25/C25)</f>
        <v>0.9</v>
      </c>
      <c r="E25" s="51">
        <f>SUM(E15:E17)</f>
        <v>81350.100000000006</v>
      </c>
      <c r="F25" s="233">
        <f t="shared" ref="F25:F27" si="2">E25/$E$28</f>
        <v>4.5061754330319871E-2</v>
      </c>
      <c r="G25" s="6"/>
      <c r="H25" s="41" t="s">
        <v>384</v>
      </c>
      <c r="I25" s="184">
        <f>E28/I28</f>
        <v>8.4131911175319232</v>
      </c>
    </row>
    <row r="26" spans="2:10" ht="15" customHeight="1">
      <c r="B26" s="41" t="s">
        <v>375</v>
      </c>
      <c r="C26" s="182">
        <f>C18+C19+C20</f>
        <v>0</v>
      </c>
      <c r="D26" s="183">
        <f t="shared" ref="D26:D27" si="3">IF(E26=0,0,E26/C26)</f>
        <v>0</v>
      </c>
      <c r="E26" s="51">
        <f>E18+E19+E20</f>
        <v>0</v>
      </c>
      <c r="F26" s="233">
        <f t="shared" si="2"/>
        <v>0</v>
      </c>
      <c r="G26" s="6"/>
      <c r="H26" s="41" t="s">
        <v>259</v>
      </c>
      <c r="I26" s="184">
        <f>E24/($I$28-I15)</f>
        <v>18.666527854594353</v>
      </c>
      <c r="J26" s="13" t="str">
        <f>IF(I26&lt;1,"Liquidity Problem!","")</f>
        <v/>
      </c>
    </row>
    <row r="27" spans="2:10" ht="15" customHeight="1">
      <c r="B27" s="41" t="s">
        <v>376</v>
      </c>
      <c r="C27" s="305">
        <f>C21+C22</f>
        <v>2835</v>
      </c>
      <c r="D27" s="183">
        <f t="shared" si="3"/>
        <v>0.95</v>
      </c>
      <c r="E27" s="51">
        <f>E21+E22</f>
        <v>2693.25</v>
      </c>
      <c r="F27" s="233">
        <f t="shared" si="2"/>
        <v>1.4918552017776743E-3</v>
      </c>
      <c r="G27" s="6"/>
      <c r="H27" s="41" t="s">
        <v>263</v>
      </c>
      <c r="I27" s="184">
        <f>(E25+E24)/$I$28</f>
        <v>8.4006398545996834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1900252</v>
      </c>
      <c r="D28" s="166">
        <f t="shared" ref="D28" si="4">E28/C28</f>
        <v>0.95003323243443505</v>
      </c>
      <c r="E28" s="212">
        <f>SUM(E24:E27)</f>
        <v>1805302.55</v>
      </c>
      <c r="F28" s="6"/>
      <c r="G28" s="6"/>
      <c r="H28" s="306" t="s">
        <v>53</v>
      </c>
      <c r="I28" s="190">
        <v>214580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1814508</v>
      </c>
      <c r="D31" s="180">
        <v>0.7</v>
      </c>
      <c r="E31" s="51">
        <f t="shared" ref="E31:E42" si="5">C31*D31</f>
        <v>1270155.5999999999</v>
      </c>
      <c r="F31" s="6"/>
      <c r="G31" s="6"/>
      <c r="H31" s="5" t="s">
        <v>97</v>
      </c>
      <c r="I31" s="179">
        <v>2056</v>
      </c>
      <c r="J31" s="6"/>
    </row>
    <row r="32" spans="2:10" ht="15" customHeight="1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344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1736</v>
      </c>
      <c r="J34" s="6"/>
    </row>
    <row r="35" spans="2:10" ht="14">
      <c r="B35" s="5" t="s">
        <v>103</v>
      </c>
      <c r="C35" s="179">
        <v>547346</v>
      </c>
      <c r="D35" s="180">
        <v>0.6</v>
      </c>
      <c r="E35" s="51">
        <f t="shared" si="5"/>
        <v>328407.59999999998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190249</v>
      </c>
      <c r="D36" s="180">
        <v>0.7</v>
      </c>
      <c r="E36" s="51">
        <f t="shared" si="5"/>
        <v>133174.29999999999</v>
      </c>
      <c r="F36" s="181" t="s">
        <v>204</v>
      </c>
      <c r="G36" s="58">
        <f>IF(F36="Y",0,1)</f>
        <v>1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160020+19861</f>
        <v>179881</v>
      </c>
      <c r="D38" s="180">
        <v>0.3</v>
      </c>
      <c r="E38" s="51">
        <f t="shared" si="5"/>
        <v>53964.299999999996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14121</v>
      </c>
      <c r="D40" s="180">
        <v>0.1</v>
      </c>
      <c r="E40" s="51">
        <f t="shared" si="5"/>
        <v>1412.1000000000001</v>
      </c>
      <c r="F40" s="6"/>
      <c r="G40" s="6"/>
      <c r="H40" s="6"/>
      <c r="I40" s="6"/>
    </row>
    <row r="41" spans="2:10" ht="15" customHeight="1">
      <c r="B41" s="5" t="s">
        <v>106</v>
      </c>
      <c r="C41" s="179">
        <v>3417</v>
      </c>
      <c r="D41" s="180">
        <v>0.95</v>
      </c>
      <c r="E41" s="51">
        <f t="shared" si="5"/>
        <v>3246.1499999999996</v>
      </c>
      <c r="F41" s="6"/>
      <c r="G41" s="6"/>
      <c r="H41" s="6"/>
      <c r="I41" s="6"/>
    </row>
    <row r="42" spans="2:10" ht="15" customHeight="1">
      <c r="B42" s="5" t="s">
        <v>107</v>
      </c>
      <c r="C42" s="179">
        <v>2758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374</v>
      </c>
      <c r="C44" s="182">
        <f>SUM(C30:C31)</f>
        <v>1814508</v>
      </c>
      <c r="D44" s="183">
        <f>IF(E44=0,0,E44/C44)</f>
        <v>0.7</v>
      </c>
      <c r="E44" s="51">
        <f>SUM(E30:E31)</f>
        <v>1270155.5999999999</v>
      </c>
      <c r="F44" s="233"/>
      <c r="G44" s="6"/>
      <c r="H44" s="3" t="s">
        <v>382</v>
      </c>
      <c r="I44" s="312">
        <f>I30+I31+I32</f>
        <v>2056</v>
      </c>
    </row>
    <row r="45" spans="2:10" ht="15" customHeight="1">
      <c r="B45" s="41" t="s">
        <v>378</v>
      </c>
      <c r="C45" s="182">
        <f>SUM(C32:C35)</f>
        <v>547346</v>
      </c>
      <c r="D45" s="183">
        <f>IF(E45=0,0,E45/C45)</f>
        <v>0.6</v>
      </c>
      <c r="E45" s="51">
        <f>SUM(E32:E35)</f>
        <v>328407.59999999998</v>
      </c>
      <c r="F45" s="233"/>
      <c r="G45" s="6"/>
    </row>
    <row r="46" spans="2:10" ht="15" customHeight="1">
      <c r="B46" s="41" t="s">
        <v>379</v>
      </c>
      <c r="C46" s="182">
        <f>C36+C37+C38+C39</f>
        <v>370130</v>
      </c>
      <c r="D46" s="183">
        <f t="shared" ref="D46:D47" si="6">IF(E46=0,0,E46/C46)</f>
        <v>0.50560235592899783</v>
      </c>
      <c r="E46" s="51">
        <f>E36+E37+E38+E39</f>
        <v>187138.59999999998</v>
      </c>
      <c r="F46" s="6"/>
      <c r="G46" s="6"/>
      <c r="H46" s="41" t="s">
        <v>260</v>
      </c>
      <c r="I46" s="184">
        <f>(E44+E24)/D55</f>
        <v>31.733425270773438</v>
      </c>
      <c r="J46" s="13" t="str">
        <f>IF(I46&lt;1,"Liquidity Problem!","")</f>
        <v/>
      </c>
    </row>
    <row r="47" spans="2:10" ht="15" customHeight="1">
      <c r="B47" s="41" t="s">
        <v>380</v>
      </c>
      <c r="C47" s="182">
        <f>C40+C41+C42</f>
        <v>20296</v>
      </c>
      <c r="D47" s="183">
        <f t="shared" si="6"/>
        <v>0.22951566811194324</v>
      </c>
      <c r="E47" s="51">
        <f>E40+E41+E42</f>
        <v>4658.25</v>
      </c>
      <c r="F47" s="6"/>
      <c r="G47" s="6"/>
      <c r="H47" s="41" t="s">
        <v>264</v>
      </c>
      <c r="I47" s="184">
        <f>(E44+E45+E24+E25)/$I$49</f>
        <v>15.57513096917187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2752280</v>
      </c>
      <c r="D48" s="310">
        <f>E48/C48</f>
        <v>0.65050069397009014</v>
      </c>
      <c r="E48" s="304">
        <f>SUM(E30:E42)</f>
        <v>1790360.0499999998</v>
      </c>
      <c r="F48" s="6"/>
      <c r="G48" s="6"/>
      <c r="H48" s="308" t="s">
        <v>109</v>
      </c>
      <c r="I48" s="311">
        <v>3792</v>
      </c>
      <c r="J48" s="13"/>
    </row>
    <row r="49" spans="2:10" ht="15" customHeight="1" thickTop="1">
      <c r="B49" s="5" t="s">
        <v>370</v>
      </c>
      <c r="C49" s="182">
        <f>SUM(C44:C47)+C28</f>
        <v>4652532</v>
      </c>
      <c r="D49" s="149">
        <f>E49/C49</f>
        <v>0.77283995037540842</v>
      </c>
      <c r="E49" s="51">
        <f>E28+E48</f>
        <v>3595662.5999999996</v>
      </c>
      <c r="F49" s="6"/>
      <c r="G49" s="6"/>
      <c r="H49" s="5" t="s">
        <v>261</v>
      </c>
      <c r="I49" s="130">
        <f>I28+I48</f>
        <v>218372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0</v>
      </c>
      <c r="D53" s="54">
        <f>IF(E53=0, 0,E53/C53)</f>
        <v>0</v>
      </c>
      <c r="E53" s="51">
        <f>MAX(C53,C53*Dashboard!I10)</f>
        <v>0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94267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50">
        <f>SUM(I11:I13)+SUM(I30:I32)</f>
        <v>94267</v>
      </c>
      <c r="E56" s="381"/>
      <c r="F56" s="5"/>
      <c r="G56" s="5"/>
      <c r="H56" s="6" t="s">
        <v>262</v>
      </c>
      <c r="I56" s="149">
        <f>D56/I3</f>
        <v>2.1259268948346472E-2</v>
      </c>
    </row>
    <row r="57" spans="2:10" ht="14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341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2837999</v>
      </c>
      <c r="D61" s="149">
        <f>IF(E61=0,0,E61/C61)</f>
        <v>0.68071366480396922</v>
      </c>
      <c r="E61" s="130">
        <f>E14+E15+(E19*G19)+(E20*G20)+E31+E32+(E33*G33)+(E35*G35)+(E36*G36)+(E37*G37)</f>
        <v>1931864.7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1521132</v>
      </c>
      <c r="D62" s="54">
        <f>IF(E62=0,0,E62/C62)</f>
        <v>1</v>
      </c>
      <c r="E62" s="182">
        <f>E11+E12+E30</f>
        <v>1521132</v>
      </c>
      <c r="F62" s="6"/>
      <c r="G62" s="6"/>
      <c r="H62" s="6"/>
      <c r="I62" s="6"/>
    </row>
    <row r="63" spans="2:10" ht="14">
      <c r="B63" s="32" t="s">
        <v>116</v>
      </c>
      <c r="C63" s="6"/>
      <c r="D63" s="350">
        <f>((Dashboard!I6*Data!C4)+D55+E53-C61-C62)</f>
        <v>466314.9414400002</v>
      </c>
      <c r="E63" s="350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-0.20760833676906576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0.1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f>D67</f>
        <v>0.1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8"/>
  <sheetViews>
    <sheetView showGridLines="0" zoomScaleNormal="100" zoomScalePageLayoutView="80" workbookViewId="0">
      <selection activeCell="I8" sqref="I8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3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>
        <f>IF(H8="","",EOMONTH(EDATE(G3,12),0))</f>
        <v>45657</v>
      </c>
      <c r="I3" s="194">
        <f>IF(I15="","",EOMONTH(EDATE(H3,12),0))</f>
        <v>46022</v>
      </c>
      <c r="K3" s="42" t="s">
        <v>117</v>
      </c>
    </row>
    <row r="4" spans="1:12" ht="15.75" customHeight="1">
      <c r="B4" s="118" t="s">
        <v>403</v>
      </c>
      <c r="C4" s="205">
        <v>1362455</v>
      </c>
      <c r="D4" s="205">
        <v>1013168</v>
      </c>
      <c r="E4" s="205">
        <v>926727</v>
      </c>
      <c r="F4" s="205">
        <v>549346</v>
      </c>
      <c r="G4" s="205"/>
      <c r="H4" s="206"/>
      <c r="I4" s="206"/>
      <c r="J4" s="6"/>
      <c r="K4" s="43"/>
      <c r="L4" s="36"/>
    </row>
    <row r="5" spans="1:12" ht="15.75" customHeight="1">
      <c r="B5" s="118" t="s">
        <v>404</v>
      </c>
      <c r="C5" s="196">
        <v>186200</v>
      </c>
      <c r="D5" s="196">
        <v>80218</v>
      </c>
      <c r="E5" s="196">
        <v>154452</v>
      </c>
      <c r="F5" s="196">
        <v>34293</v>
      </c>
      <c r="G5" s="196"/>
      <c r="H5" s="197"/>
      <c r="I5" s="197"/>
      <c r="J5" s="6"/>
      <c r="K5" s="43"/>
      <c r="L5" s="36"/>
    </row>
    <row r="6" spans="1:12" ht="15.75" customHeight="1">
      <c r="B6" s="118" t="s">
        <v>402</v>
      </c>
      <c r="C6" s="196">
        <v>55263</v>
      </c>
      <c r="D6" s="196">
        <v>1468063</v>
      </c>
      <c r="E6" s="196">
        <v>200470</v>
      </c>
      <c r="F6" s="196">
        <v>904</v>
      </c>
      <c r="G6" s="196"/>
      <c r="H6" s="197"/>
      <c r="I6" s="197"/>
      <c r="J6" s="6"/>
      <c r="K6" s="43"/>
      <c r="L6" s="36"/>
    </row>
    <row r="7" spans="1:12" ht="15.75" customHeight="1">
      <c r="B7" s="5" t="s">
        <v>118</v>
      </c>
      <c r="C7" s="198">
        <f>Data!F7</f>
        <v>1603918</v>
      </c>
      <c r="D7" s="198">
        <f>Data!E7</f>
        <v>2561449</v>
      </c>
      <c r="E7" s="198">
        <f>Data!D7</f>
        <v>1281649</v>
      </c>
      <c r="F7" s="198">
        <f>Data!C7</f>
        <v>584543</v>
      </c>
      <c r="G7" s="200">
        <f>F7*0.83</f>
        <v>485170.69</v>
      </c>
      <c r="H7" s="200">
        <f>G7*2</f>
        <v>970341.38</v>
      </c>
      <c r="I7" s="201">
        <f>H7*(1+I8)</f>
        <v>1261443.794</v>
      </c>
      <c r="J7" s="6"/>
      <c r="K7" s="43"/>
      <c r="L7" s="36"/>
    </row>
    <row r="8" spans="1:12" ht="15.75" customHeight="1">
      <c r="B8" s="14" t="s">
        <v>348</v>
      </c>
      <c r="C8" s="285"/>
      <c r="D8" s="171">
        <f>D7/C7-1</f>
        <v>0.59699498353407088</v>
      </c>
      <c r="E8" s="171">
        <f>E7/D7-1</f>
        <v>-0.49963907147868258</v>
      </c>
      <c r="F8" s="171">
        <f>Data!C8</f>
        <v>-0.54391334913069023</v>
      </c>
      <c r="G8" s="149">
        <f>G7/F7-1</f>
        <v>-0.17000000000000004</v>
      </c>
      <c r="H8" s="149">
        <f>H7/G7-1</f>
        <v>1</v>
      </c>
      <c r="I8" s="180">
        <v>0.3</v>
      </c>
      <c r="J8" s="6"/>
      <c r="K8" s="43"/>
      <c r="L8" s="36"/>
    </row>
    <row r="9" spans="1:12" ht="15.75" customHeight="1">
      <c r="B9" s="8" t="s">
        <v>119</v>
      </c>
      <c r="C9" s="202">
        <f>Data!F9</f>
        <v>1237790</v>
      </c>
      <c r="D9" s="202">
        <f>Data!E9</f>
        <v>1214876</v>
      </c>
      <c r="E9" s="202">
        <f>Data!D9</f>
        <v>939526</v>
      </c>
      <c r="F9" s="202">
        <f>Data!C9</f>
        <v>603161</v>
      </c>
      <c r="G9" s="203">
        <f>(151092+119110+7113+8312)*2</f>
        <v>571254</v>
      </c>
      <c r="H9" s="204">
        <f>IF(H7="","",H7*(1-H10))</f>
        <v>737459.44880000001</v>
      </c>
      <c r="I9" s="204">
        <f>IF(I7="","",I7*(1-I10))</f>
        <v>983926.15931999998</v>
      </c>
      <c r="J9" s="6"/>
      <c r="K9" s="77"/>
      <c r="L9" s="1"/>
    </row>
    <row r="10" spans="1:12" ht="15.75" customHeight="1">
      <c r="B10" s="14" t="s">
        <v>44</v>
      </c>
      <c r="C10" s="96">
        <f t="shared" ref="C10:E10" si="0">(C7-C9)/C7</f>
        <v>0.22827102133650223</v>
      </c>
      <c r="D10" s="96">
        <f t="shared" si="0"/>
        <v>0.52570751945480854</v>
      </c>
      <c r="E10" s="96">
        <f t="shared" si="0"/>
        <v>0.26693970033917241</v>
      </c>
      <c r="F10" s="96">
        <f>(F7-F9)/F7</f>
        <v>-3.1850522544962477E-2</v>
      </c>
      <c r="G10" s="208">
        <f>(G7-G9)/G7</f>
        <v>-0.17742891682100581</v>
      </c>
      <c r="H10" s="208">
        <v>0.24</v>
      </c>
      <c r="I10" s="208">
        <v>0.22</v>
      </c>
      <c r="J10" s="6"/>
      <c r="K10" s="43"/>
    </row>
    <row r="11" spans="1:12" ht="15.75" customHeight="1">
      <c r="B11" s="5" t="s">
        <v>347</v>
      </c>
      <c r="C11" s="51">
        <f>C7-C9</f>
        <v>366128</v>
      </c>
      <c r="D11" s="51">
        <f t="shared" ref="D11:E11" si="1">D7-D9</f>
        <v>1346573</v>
      </c>
      <c r="E11" s="51">
        <f t="shared" si="1"/>
        <v>342123</v>
      </c>
      <c r="F11" s="51">
        <f>F7-F9</f>
        <v>-18618</v>
      </c>
      <c r="G11" s="51">
        <f>G7-G9</f>
        <v>-86083.31</v>
      </c>
      <c r="H11" s="51">
        <f>IF(H8="","",H7-H9)</f>
        <v>232881.93119999999</v>
      </c>
      <c r="I11" s="51">
        <f>IF(I8="","",I7-I9)</f>
        <v>277517.63468000002</v>
      </c>
      <c r="J11" s="6"/>
      <c r="K11" s="43"/>
    </row>
    <row r="12" spans="1:12" ht="15.75" customHeight="1">
      <c r="B12" s="14" t="s">
        <v>46</v>
      </c>
      <c r="C12" s="54">
        <f>C13/C7</f>
        <v>7.0998642075218305E-2</v>
      </c>
      <c r="D12" s="54">
        <f t="shared" ref="D12:E12" si="2">D13/D7</f>
        <v>4.35971983045534E-2</v>
      </c>
      <c r="E12" s="54">
        <f t="shared" si="2"/>
        <v>7.7536049261537288E-2</v>
      </c>
      <c r="F12" s="54">
        <f>F13/F7</f>
        <v>0.20490537052021837</v>
      </c>
      <c r="G12" s="207">
        <f>F12</f>
        <v>0.20490537052021837</v>
      </c>
      <c r="H12" s="180">
        <f>H13/H7</f>
        <v>0.12343697019290263</v>
      </c>
      <c r="I12" s="180">
        <f>I13/I7</f>
        <v>9.4951515533002018E-2</v>
      </c>
      <c r="J12" s="6"/>
      <c r="K12" s="43"/>
    </row>
    <row r="13" spans="1:12" ht="15.75" customHeight="1">
      <c r="B13" s="8" t="s">
        <v>120</v>
      </c>
      <c r="C13" s="198">
        <f>Data!F11</f>
        <v>113876</v>
      </c>
      <c r="D13" s="198">
        <f>Data!E11</f>
        <v>111672</v>
      </c>
      <c r="E13" s="198">
        <f>Data!D11</f>
        <v>99374</v>
      </c>
      <c r="F13" s="198">
        <f>Data!C11</f>
        <v>119776</v>
      </c>
      <c r="G13" s="161">
        <f>53552*2</f>
        <v>107104</v>
      </c>
      <c r="H13" s="161">
        <f>F13</f>
        <v>119776</v>
      </c>
      <c r="I13" s="161">
        <f>H13</f>
        <v>119776</v>
      </c>
      <c r="J13" s="6"/>
      <c r="K13" s="43"/>
    </row>
    <row r="14" spans="1:12" ht="15.75" customHeight="1">
      <c r="B14" s="14" t="s">
        <v>47</v>
      </c>
      <c r="C14" s="166">
        <f t="shared" ref="C14:E14" si="3">C16/C7</f>
        <v>0.15727237926128393</v>
      </c>
      <c r="D14" s="166">
        <f t="shared" si="3"/>
        <v>0.48211032115025521</v>
      </c>
      <c r="E14" s="166">
        <f t="shared" si="3"/>
        <v>0.18940365107763513</v>
      </c>
      <c r="F14" s="166">
        <f>F16/F7</f>
        <v>-0.23675589306518083</v>
      </c>
      <c r="G14" s="166">
        <f>G16/G7</f>
        <v>-0.39818421430198103</v>
      </c>
      <c r="H14" s="166">
        <f>IF(H8="","",H16/H7)</f>
        <v>0.11656302980709736</v>
      </c>
      <c r="I14" s="166">
        <f>IF(I8="","",I16/I7)</f>
        <v>0.12504848446699798</v>
      </c>
      <c r="J14" s="6"/>
      <c r="K14" s="43"/>
      <c r="L14" s="36"/>
    </row>
    <row r="15" spans="1:12" ht="15.75" customHeight="1">
      <c r="B15" s="14" t="s">
        <v>121</v>
      </c>
      <c r="C15" s="285"/>
      <c r="D15" s="171">
        <f t="shared" ref="D15:E15" si="4">D16/C16-1</f>
        <v>3.8955052883624308</v>
      </c>
      <c r="E15" s="171">
        <f t="shared" si="4"/>
        <v>-0.80342634753717102</v>
      </c>
      <c r="F15" s="171">
        <f>F16/E16-1</f>
        <v>-1.5701115143625719</v>
      </c>
      <c r="G15" s="149">
        <f>IF(ABS(F16+G16)=ABS(F16)+ABS(G16),IF(G16&lt;0,-1,1)*(G16-F16)/F16,"Turn")</f>
        <v>-0.39592258334898911</v>
      </c>
      <c r="H15" s="149" t="str">
        <f>IF(H8="","",IF(ABS(G16+H16)=ABS(G16)+ABS(H16),IF(H16&lt;0,-1,1)*(H16-G16)/G16,"Turn"))</f>
        <v>Turn</v>
      </c>
      <c r="I15" s="149">
        <f>IF(I8="","",IF(ABS(H16+I16)=ABS(H16)+ABS(I16),IF(I16&lt;0,-1,1)*(I16-H16)/H16,"Turn"))</f>
        <v>0.3946362759798403</v>
      </c>
      <c r="J15" s="6"/>
      <c r="K15" s="45"/>
      <c r="L15" s="46"/>
    </row>
    <row r="16" spans="1:12" ht="15.75" customHeight="1">
      <c r="B16" s="5" t="s">
        <v>207</v>
      </c>
      <c r="C16" s="154">
        <f t="shared" ref="C16:D16" si="5">C11-C13</f>
        <v>252252</v>
      </c>
      <c r="D16" s="154">
        <f t="shared" si="5"/>
        <v>1234901</v>
      </c>
      <c r="E16" s="154">
        <f>E11-E13</f>
        <v>242749</v>
      </c>
      <c r="F16" s="154">
        <f>F11-F13</f>
        <v>-138394</v>
      </c>
      <c r="G16" s="154">
        <f>G11-G13</f>
        <v>-193187.31</v>
      </c>
      <c r="H16" s="154">
        <f>IF(H8="","",H11-H13)</f>
        <v>113105.93119999999</v>
      </c>
      <c r="I16" s="154">
        <f>IF(I8="","",I11-I13)</f>
        <v>157741.63468000002</v>
      </c>
      <c r="J16" s="6"/>
      <c r="K16" s="47"/>
      <c r="L16" s="35"/>
    </row>
    <row r="17" spans="2:11" ht="15.75" customHeight="1">
      <c r="B17" s="209" t="s">
        <v>122</v>
      </c>
      <c r="C17" s="284"/>
      <c r="D17" s="284"/>
      <c r="E17" s="284"/>
      <c r="F17" s="211">
        <v>0.25</v>
      </c>
      <c r="G17" s="166">
        <f>IF(G16="","",F17)</f>
        <v>0.25</v>
      </c>
      <c r="H17" s="166">
        <f>IF(H16="","",G17)</f>
        <v>0.25</v>
      </c>
      <c r="I17" s="166">
        <f>IF(I16="","",H17)</f>
        <v>0.25</v>
      </c>
      <c r="K17" s="43"/>
    </row>
    <row r="18" spans="2:11" ht="15.75" customHeight="1">
      <c r="B18" s="14" t="s">
        <v>253</v>
      </c>
      <c r="C18" s="285"/>
      <c r="D18" s="285"/>
      <c r="E18" s="285"/>
      <c r="F18" s="171">
        <f>F19/F7</f>
        <v>-0.23675589306518083</v>
      </c>
      <c r="G18" s="149">
        <f>G19/G7</f>
        <v>-0.39818421430198103</v>
      </c>
      <c r="H18" s="149">
        <f>IF(H7="","",H19/H7)</f>
        <v>8.742227235532303E-2</v>
      </c>
      <c r="I18" s="149">
        <f>IF(I7="","",I19/I7)</f>
        <v>9.3786363350248494E-2</v>
      </c>
    </row>
    <row r="19" spans="2:11" ht="15.75" customHeight="1">
      <c r="B19" s="85" t="s">
        <v>69</v>
      </c>
      <c r="C19" s="286"/>
      <c r="D19" s="286"/>
      <c r="E19" s="286"/>
      <c r="F19" s="51">
        <f>IF(F16&lt;=0,F16,F16*(1-F17))</f>
        <v>-138394</v>
      </c>
      <c r="G19" s="210">
        <f>IF(G16="","",IF(G16&lt;=0,G16,G16*(1-G17)))</f>
        <v>-193187.31</v>
      </c>
      <c r="H19" s="210">
        <f>IF(H16="","",IF(H16&lt;=0,H16,H16*(1-H17)))</f>
        <v>84829.448399999994</v>
      </c>
      <c r="I19" s="210">
        <f>IF(I16="","",IF(I16&lt;=0,I16,I16*(1-I17)))</f>
        <v>118306.22601000001</v>
      </c>
    </row>
    <row r="20" spans="2:11" ht="15.75" customHeight="1">
      <c r="B20" s="14" t="s">
        <v>336</v>
      </c>
      <c r="C20" s="287"/>
      <c r="D20" s="287"/>
      <c r="E20" s="287"/>
      <c r="F20" s="212">
        <f>Data!C35</f>
        <v>0</v>
      </c>
      <c r="G20" s="213">
        <f>IF(G8&lt;=0,0,(G7-F7)*Asset_Model!$D$67)</f>
        <v>0</v>
      </c>
      <c r="H20" s="213">
        <f>IF(H7="","",IF(H8&lt;=0,0,(H7-G7)*Asset_Model!$D$67))</f>
        <v>48517.069000000003</v>
      </c>
      <c r="I20" s="213">
        <f>IF(I7="","",IF(I8&lt;=0,0,(I7-H7)*Asset_Model!$D$67))</f>
        <v>29110.241399999999</v>
      </c>
    </row>
    <row r="21" spans="2:11" ht="15.75" customHeight="1">
      <c r="B21" s="318" t="s">
        <v>394</v>
      </c>
      <c r="C21" s="319"/>
      <c r="D21" s="319">
        <v>51677</v>
      </c>
      <c r="E21" s="319">
        <v>40849</v>
      </c>
      <c r="F21" s="319">
        <v>33445</v>
      </c>
      <c r="G21" s="320">
        <f>F21</f>
        <v>33445</v>
      </c>
      <c r="H21" s="320">
        <f>G21</f>
        <v>33445</v>
      </c>
      <c r="I21" s="320">
        <f>H21</f>
        <v>33445</v>
      </c>
    </row>
    <row r="22" spans="2:11" ht="15.75" customHeight="1">
      <c r="B22" s="14" t="s">
        <v>392</v>
      </c>
      <c r="C22" s="288"/>
      <c r="D22" s="288"/>
      <c r="E22" s="288"/>
      <c r="F22" s="95">
        <f>Data!C33</f>
        <v>-7605</v>
      </c>
      <c r="G22" s="161">
        <v>0</v>
      </c>
      <c r="H22" s="161">
        <v>0</v>
      </c>
      <c r="I22" s="161">
        <v>0</v>
      </c>
    </row>
    <row r="23" spans="2:11" ht="15.75" customHeight="1">
      <c r="B23" s="85" t="s">
        <v>339</v>
      </c>
      <c r="C23" s="289"/>
      <c r="D23" s="289"/>
      <c r="E23" s="289"/>
      <c r="F23" s="214">
        <f>F20-F21+F22</f>
        <v>-41050</v>
      </c>
      <c r="G23" s="214">
        <f>IF(G14="","",G20-G21+G22)</f>
        <v>-33445</v>
      </c>
      <c r="H23" s="214">
        <f>IF(H14="","",H20-H21+H22)</f>
        <v>15072.069000000003</v>
      </c>
      <c r="I23" s="214">
        <f>IF(I14="","",I20-I21+I22)</f>
        <v>-4334.758600000001</v>
      </c>
    </row>
    <row r="24" spans="2:11" ht="15.75" customHeight="1">
      <c r="B24" s="14" t="s">
        <v>333</v>
      </c>
      <c r="C24" s="285"/>
      <c r="D24" s="285"/>
      <c r="E24" s="285"/>
      <c r="F24" s="171">
        <f>AVERAGE(Data!C54:E54)</f>
        <v>8.107941696106101E-2</v>
      </c>
      <c r="G24" s="387"/>
      <c r="H24" s="388"/>
      <c r="I24" s="389"/>
    </row>
    <row r="25" spans="2:11" ht="15.75" customHeight="1">
      <c r="B25" s="84" t="s">
        <v>123</v>
      </c>
      <c r="C25" s="289"/>
      <c r="D25" s="289"/>
      <c r="E25" s="289"/>
      <c r="F25" s="214">
        <f>F19-F23</f>
        <v>-97344</v>
      </c>
      <c r="G25" s="214">
        <f>G19-G23</f>
        <v>-159742.31</v>
      </c>
      <c r="H25" s="214">
        <f>IF(H19="","",H19-H23)</f>
        <v>69757.379399999991</v>
      </c>
      <c r="I25" s="214">
        <f>IF(I19="","",I19-I23)</f>
        <v>122640.98461000001</v>
      </c>
    </row>
    <row r="26" spans="2:11" ht="15.75" customHeight="1"/>
    <row r="27" spans="2:11" ht="15.75" customHeight="1"/>
    <row r="28" spans="2:11" ht="15.75" customHeight="1"/>
    <row r="29" spans="2:11" ht="15.75" customHeight="1"/>
    <row r="30" spans="2:11" ht="15.75" customHeight="1"/>
    <row r="31" spans="2:11" ht="15.75" customHeight="1"/>
    <row r="32" spans="2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</sheetData>
  <mergeCells count="1">
    <mergeCell ref="G24:I24"/>
  </mergeCells>
  <phoneticPr fontId="31" type="noConversion"/>
  <conditionalFormatting sqref="C21:G21">
    <cfRule type="containsBlanks" priority="2">
      <formula>LEN(TRIM(C21))=0</formula>
    </cfRule>
  </conditionalFormatting>
  <conditionalFormatting sqref="C21:I21">
    <cfRule type="containsBlanks" dxfId="13" priority="1">
      <formula>LEN(TRIM(C21))=0</formula>
    </cfRule>
  </conditionalFormatting>
  <conditionalFormatting sqref="G17:G19">
    <cfRule type="containsBlanks" dxfId="12" priority="22">
      <formula>LEN(TRIM(G17))=0</formula>
    </cfRule>
  </conditionalFormatting>
  <conditionalFormatting sqref="G24">
    <cfRule type="containsBlanks" dxfId="11" priority="11">
      <formula>LEN(TRIM(G24))=0</formula>
    </cfRule>
  </conditionalFormatting>
  <conditionalFormatting sqref="H9:H12 H14:H16">
    <cfRule type="containsBlanks" priority="31">
      <formula>LEN(TRIM(H9))=0</formula>
    </cfRule>
  </conditionalFormatting>
  <conditionalFormatting sqref="H9:H20">
    <cfRule type="containsBlanks" dxfId="10" priority="30">
      <formula>LEN(TRIM(H9))=0</formula>
    </cfRule>
  </conditionalFormatting>
  <conditionalFormatting sqref="H19:I19">
    <cfRule type="containsBlanks" dxfId="9" priority="24">
      <formula>LEN(TRIM(H19))=0</formula>
    </cfRule>
  </conditionalFormatting>
  <conditionalFormatting sqref="H20:I23">
    <cfRule type="containsBlanks" dxfId="8" priority="3">
      <formula>LEN(TRIM(H20))=0</formula>
    </cfRule>
    <cfRule type="containsBlanks" priority="4">
      <formula>LEN(TRIM(H20))=0</formula>
    </cfRule>
  </conditionalFormatting>
  <conditionalFormatting sqref="H25:I25">
    <cfRule type="containsBlanks" dxfId="7" priority="12">
      <formula>LEN(TRIM(H25))=0</formula>
    </cfRule>
    <cfRule type="containsBlanks" priority="13">
      <formula>LEN(TRIM(H25))=0</formula>
    </cfRule>
  </conditionalFormatting>
  <conditionalFormatting sqref="I8:I16">
    <cfRule type="containsBlanks" priority="27">
      <formula>LEN(TRIM(I8))=0</formula>
    </cfRule>
  </conditionalFormatting>
  <conditionalFormatting sqref="I8:I20">
    <cfRule type="containsBlanks" dxfId="6" priority="26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385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386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387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388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346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349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359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350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351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352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353</v>
      </c>
      <c r="J76" s="296"/>
      <c r="K76" s="296"/>
      <c r="L76" s="296"/>
      <c r="M76" s="296"/>
    </row>
    <row r="78" spans="2:13" ht="13">
      <c r="B78" s="297" t="s">
        <v>358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356</v>
      </c>
      <c r="J80" s="295"/>
      <c r="K80" s="295"/>
      <c r="L80" s="295"/>
      <c r="M80" s="295"/>
    </row>
    <row r="81" spans="2:13">
      <c r="B81" s="292" t="s">
        <v>357</v>
      </c>
      <c r="J81" s="295"/>
      <c r="K81" s="295"/>
      <c r="L81" s="295"/>
      <c r="M81" s="295"/>
    </row>
    <row r="82" spans="2:13">
      <c r="B82" s="292" t="s">
        <v>355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360</v>
      </c>
      <c r="J104" s="298">
        <f>Data!F19</f>
        <v>513409</v>
      </c>
      <c r="K104" s="298">
        <f>Data!E19</f>
        <v>1379475</v>
      </c>
      <c r="L104" s="298">
        <f>Data!D19</f>
        <v>457813</v>
      </c>
      <c r="M104" s="298">
        <f>Data!C19</f>
        <v>-544315</v>
      </c>
    </row>
    <row r="105" spans="2:13">
      <c r="B105" t="s">
        <v>361</v>
      </c>
      <c r="J105" s="298">
        <f>Data!F33</f>
        <v>0</v>
      </c>
      <c r="K105" s="298">
        <f>Data!E33</f>
        <v>24741</v>
      </c>
      <c r="L105" s="298">
        <f>Data!D33</f>
        <v>70692</v>
      </c>
      <c r="M105" s="298">
        <f>Data!C33</f>
        <v>-7605</v>
      </c>
    </row>
    <row r="106" spans="2:13">
      <c r="B106" t="s">
        <v>362</v>
      </c>
      <c r="J106" s="298">
        <f>Data!F40</f>
        <v>111349</v>
      </c>
      <c r="K106" s="298">
        <f>Data!E40</f>
        <v>408118</v>
      </c>
      <c r="L106" s="298">
        <f>Data!D40</f>
        <v>630728</v>
      </c>
      <c r="M106" s="298">
        <f>Data!C40</f>
        <v>147631</v>
      </c>
    </row>
    <row r="107" spans="2:13">
      <c r="B107" t="s">
        <v>363</v>
      </c>
      <c r="J107">
        <v>0</v>
      </c>
      <c r="K107">
        <v>0</v>
      </c>
      <c r="L107" s="298">
        <f>Data!D41</f>
        <v>22027</v>
      </c>
      <c r="M107" s="298">
        <f>Data!C41</f>
        <v>58246</v>
      </c>
    </row>
    <row r="108" spans="2:13">
      <c r="B108" t="s">
        <v>365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367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368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369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C24" sqref="C2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328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3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>
        <f>Projections!H3</f>
        <v>45657</v>
      </c>
      <c r="F3" s="194">
        <f>Projections!I3</f>
        <v>46022</v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IF(B4="NOPAT",Projections!F19,Projections!F7)</f>
        <v>-138394</v>
      </c>
      <c r="D4" s="243">
        <f>IF(B4="NOPAT",Projections!G19,Projections!G7)</f>
        <v>-193187.31</v>
      </c>
      <c r="E4" s="243">
        <f>IF(Projections!H7="","",IF(B4="NOPAT",Projections!H19,Projections!H7))</f>
        <v>84829.448399999994</v>
      </c>
      <c r="F4" s="243">
        <f>IF(Projections!I7="","",IF(B4="NOPAT",Projections!I19,Projections!I7))</f>
        <v>118306.22601000001</v>
      </c>
      <c r="G4" s="244">
        <f>IF(F3="",IF(E3="",1,2),3)</f>
        <v>3</v>
      </c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0.395922583348989</v>
      </c>
      <c r="E5" s="241">
        <f>IF(E4="","",E4/D4-1)</f>
        <v>-1.4391046616881824</v>
      </c>
      <c r="F5" s="241">
        <f>IF(F4="","",F4/E4-1)</f>
        <v>0.3946362759798403</v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0.29661690535716867</v>
      </c>
      <c r="D6" s="171">
        <f>D7/D4</f>
        <v>0.17312213726667658</v>
      </c>
      <c r="E6" s="171">
        <f>E7/E4</f>
        <v>0.17767496175302261</v>
      </c>
      <c r="F6" s="171">
        <f>F7/F4</f>
        <v>-3.6640156196290116E-2</v>
      </c>
      <c r="G6" s="285"/>
      <c r="H6" s="6"/>
      <c r="I6" s="45"/>
    </row>
    <row r="7" spans="1:10" ht="15" customHeight="1" thickBot="1">
      <c r="B7" s="146" t="s">
        <v>68</v>
      </c>
      <c r="C7" s="313">
        <f>Projections!F23</f>
        <v>-41050</v>
      </c>
      <c r="D7" s="313">
        <f>Projections!G23</f>
        <v>-33445</v>
      </c>
      <c r="E7" s="247">
        <f>Projections!H23</f>
        <v>15072.069000000003</v>
      </c>
      <c r="F7" s="247">
        <f>Projections!I23</f>
        <v>-4334.758600000001</v>
      </c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IF(C4="","",Projections!F19-C7)</f>
        <v>-97344</v>
      </c>
      <c r="D8" s="210">
        <f>Projections!G19-D7</f>
        <v>-159742.31</v>
      </c>
      <c r="E8" s="210">
        <f>IF(E4="","",Projections!H19-E7)</f>
        <v>69757.379399999991</v>
      </c>
      <c r="F8" s="210">
        <f>IF(F4="","",Projections!I19-F7)</f>
        <v>122640.98461000001</v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-5.3289246321185112E-2</v>
      </c>
      <c r="D9" s="248">
        <f>D8/(Common_Shares/Data!$C$4)</f>
        <v>-8.7448094443469668E-2</v>
      </c>
      <c r="E9" s="248">
        <f>IF(E8="","",E8/(Common_Shares/Data!$C$4))</f>
        <v>3.818744014594596E-2</v>
      </c>
      <c r="F9" s="248">
        <f>IF(F8="","",F8/(Common_Shares/Data!$C$4))</f>
        <v>6.71376318823447E-2</v>
      </c>
      <c r="G9" s="249">
        <f>IF(F4="",IF(E4="",D8,E8),F8)*Data!C$4/Common_Shares</f>
        <v>6.7137631882344714E-2</v>
      </c>
      <c r="H9" s="49"/>
      <c r="I9" s="35"/>
      <c r="J9" s="35"/>
    </row>
    <row r="10" spans="1:10" ht="15.75" customHeight="1">
      <c r="B10" s="14" t="s">
        <v>124</v>
      </c>
      <c r="C10" s="246"/>
      <c r="D10" s="149">
        <f ca="1">IF(Projections!$E2=1,"",Dashboard!C12)</f>
        <v>0.06</v>
      </c>
      <c r="E10" s="149">
        <f ca="1">IF(Projections!$E2=2,"",IF(E4="","",D10))</f>
        <v>0.06</v>
      </c>
      <c r="F10" s="149" t="str">
        <f>IF(Projections!$E2=3,"",IF(F4="","",D10))</f>
        <v/>
      </c>
      <c r="G10" s="149">
        <f ca="1">Dashboard!C12</f>
        <v>0.06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>
        <f ca="1">IF(D10="","",1+D10)</f>
        <v>1.06</v>
      </c>
      <c r="E11" s="250">
        <f ca="1">IF(E10="","",(1+D10)*(1+E10))</f>
        <v>1.1236000000000002</v>
      </c>
      <c r="F11" s="250" t="str">
        <f>IF(F10="","",(1+D10)*(1+E10)*(1+F10))</f>
        <v/>
      </c>
      <c r="G11" s="250">
        <f ca="1">IF(F9="",IF(E9="",1,D11),E11)*(1+G10)</f>
        <v>1.1910160000000003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>
        <f ca="1">IF(D11="","",D9/D11)</f>
        <v>-8.2498202305160057E-2</v>
      </c>
      <c r="E12" s="252">
        <f ca="1">IF(E11="","",E9/E11)</f>
        <v>3.3986685783148764E-2</v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1521132</v>
      </c>
      <c r="D15" s="106">
        <f>C15*Data!C4/Common_Shares</f>
        <v>0.83271673482738484</v>
      </c>
      <c r="E15" s="52" t="s">
        <v>199</v>
      </c>
      <c r="G15" s="199">
        <f>C15+C16+C17+C18</f>
        <v>3358729.7</v>
      </c>
    </row>
    <row r="16" spans="1:10" ht="15.75" customHeight="1">
      <c r="B16" s="37" t="s">
        <v>205</v>
      </c>
      <c r="C16" s="51">
        <f>Asset_Model!E61</f>
        <v>1931864.7</v>
      </c>
      <c r="D16" s="106">
        <f>C16*Data!C4/Common_Shares</f>
        <v>1.0575650667478467</v>
      </c>
      <c r="E16" s="52" t="s">
        <v>274</v>
      </c>
      <c r="G16" s="264">
        <f>(G15+MIN(D4,0))*Data!C4/Common_Shares</f>
        <v>1.7329200378129421</v>
      </c>
    </row>
    <row r="17" spans="1:9" ht="15.75" customHeight="1">
      <c r="B17" s="37" t="s">
        <v>192</v>
      </c>
      <c r="C17" s="51">
        <f>-Asset_Model!D55</f>
        <v>-94267</v>
      </c>
      <c r="D17" s="106">
        <f>C17*Data!C4/Common_Shares</f>
        <v>-5.1604797244402915E-2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0</v>
      </c>
      <c r="D18" s="106">
        <f>C18*Data!C4/Common_Shares</f>
        <v>0</v>
      </c>
      <c r="E18" s="342"/>
      <c r="F18" s="89">
        <f>D15+(MIN(D4,0)*Data!C$4/Dashboard!I5)</f>
        <v>0.72695976830949827</v>
      </c>
      <c r="G18" s="88">
        <f>SUM(D16:D18)</f>
        <v>1.0059602695034437</v>
      </c>
    </row>
    <row r="19" spans="1:9" ht="15.75" customHeight="1">
      <c r="F19" s="6"/>
      <c r="G19" s="6"/>
    </row>
    <row r="20" spans="1:9" ht="15.75" customHeight="1">
      <c r="B20" s="20" t="s">
        <v>327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3</v>
      </c>
      <c r="C21" s="265" t="s">
        <v>189</v>
      </c>
      <c r="D21" s="38" t="s">
        <v>324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6</v>
      </c>
      <c r="D22" s="268"/>
      <c r="E22" s="239">
        <f ca="1">IF(D22="",IF(G9&lt;0,G9,G9*C22/G11),D22)</f>
        <v>0.33822030207324516</v>
      </c>
      <c r="F22" s="239">
        <f ca="1">SUM(D12:F12)+E22+$G$16</f>
        <v>2.022628823364176</v>
      </c>
      <c r="G22" s="271">
        <f ca="1">F22*Exchange_Rate</f>
        <v>2.022628823364176</v>
      </c>
      <c r="I22" s="43"/>
    </row>
    <row r="23" spans="1:9" ht="15.75" customHeight="1">
      <c r="B23" s="132" t="s">
        <v>249</v>
      </c>
      <c r="C23" s="269">
        <v>12</v>
      </c>
      <c r="D23" s="270"/>
      <c r="E23" s="98">
        <f ca="1">IF(D23="",IF(G9&lt;0,G9,G9*C23/G11),D23)</f>
        <v>0.67644060414649032</v>
      </c>
      <c r="F23" s="98">
        <f ca="1">SUM(D12:F12)+E23+$G$16</f>
        <v>2.3608491254374213</v>
      </c>
      <c r="G23" s="272">
        <f ca="1">F23*Exchange_Rate</f>
        <v>2.3608491254374213</v>
      </c>
      <c r="I23" s="43"/>
    </row>
    <row r="24" spans="1:9" ht="15.5" customHeight="1">
      <c r="C24" s="6"/>
      <c r="D24" s="6"/>
      <c r="E24" s="391" t="s">
        <v>332</v>
      </c>
      <c r="F24" s="392"/>
      <c r="G24" s="143">
        <f ca="1">MIN(G22,G23)+ABS(G22-G23)*Qualitative_Analysis!$E$64</f>
        <v>2.199463972116519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3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>
        <f>E3</f>
        <v>45657</v>
      </c>
      <c r="F27" s="194">
        <f>F3</f>
        <v>46022</v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-97344</v>
      </c>
      <c r="D28" s="51">
        <f>D8</f>
        <v>-159742.31</v>
      </c>
      <c r="E28" s="51">
        <f>E8</f>
        <v>69757.379399999991</v>
      </c>
      <c r="F28" s="51">
        <f>F8</f>
        <v>122640.98461000001</v>
      </c>
      <c r="G28" s="161"/>
      <c r="I28" s="43" t="s">
        <v>316</v>
      </c>
    </row>
    <row r="29" spans="1:9" ht="15.75" customHeight="1">
      <c r="B29" s="141" t="s">
        <v>298</v>
      </c>
      <c r="C29" s="180">
        <v>7.0000000000000007E-2</v>
      </c>
      <c r="D29" s="207">
        <v>0.08</v>
      </c>
      <c r="E29" s="180">
        <v>7.0000000000000007E-2</v>
      </c>
      <c r="F29" s="207">
        <v>0.06</v>
      </c>
      <c r="G29" s="207"/>
      <c r="I29" s="43"/>
    </row>
    <row r="30" spans="1:9" ht="15.75" customHeight="1">
      <c r="B30" s="141" t="s">
        <v>307</v>
      </c>
      <c r="C30" s="95">
        <f>MAX(Asset_Model!D55,0)</f>
        <v>94267</v>
      </c>
      <c r="D30" s="150">
        <f>C30*1.1</f>
        <v>103693.70000000001</v>
      </c>
      <c r="E30" s="161">
        <f>D30</f>
        <v>103693.70000000001</v>
      </c>
      <c r="F30" s="161">
        <f>E30</f>
        <v>103693.70000000001</v>
      </c>
      <c r="G30" s="161"/>
      <c r="I30" s="43" t="s">
        <v>308</v>
      </c>
    </row>
    <row r="31" spans="1:9" ht="15.75" customHeight="1">
      <c r="B31" s="141" t="s">
        <v>312</v>
      </c>
      <c r="C31" s="171">
        <f>Projections!F17</f>
        <v>0.25</v>
      </c>
      <c r="D31" s="171">
        <f>Projections!G17</f>
        <v>0.25</v>
      </c>
      <c r="E31" s="171">
        <f>Projections!H17</f>
        <v>0.25</v>
      </c>
      <c r="F31" s="171">
        <f>Projections!I17</f>
        <v>0.25</v>
      </c>
      <c r="G31" s="171"/>
      <c r="I31" s="43"/>
    </row>
    <row r="32" spans="1:9" ht="15.75" customHeight="1" thickBot="1">
      <c r="B32" s="142" t="s">
        <v>311</v>
      </c>
      <c r="C32" s="276">
        <f>C30*(C29*(1-Projections!F17))</f>
        <v>4949.0175000000008</v>
      </c>
      <c r="D32" s="276">
        <f>(D30*D29)*(1-D31)</f>
        <v>6221.6220000000012</v>
      </c>
      <c r="E32" s="277">
        <f>IF(E28="","",(E30*E29)*(1-E31))</f>
        <v>5443.9192500000008</v>
      </c>
      <c r="F32" s="277">
        <f>IF(F28="","",(F30*F29)*(1-F31))</f>
        <v>4666.2165000000005</v>
      </c>
      <c r="G32" s="276"/>
      <c r="I32" s="43"/>
    </row>
    <row r="33" spans="1:9" ht="15.75" customHeight="1" thickTop="1">
      <c r="B33" s="141" t="s">
        <v>299</v>
      </c>
      <c r="C33" s="51">
        <f>C28-C32</f>
        <v>-102293.0175</v>
      </c>
      <c r="D33" s="210">
        <f>D28-D32</f>
        <v>-165963.932</v>
      </c>
      <c r="E33" s="210">
        <f>IF(E28="","",E28-E32)</f>
        <v>64313.460149999992</v>
      </c>
      <c r="F33" s="210">
        <f>IF(F28="","",F28-F32)</f>
        <v>117974.76811000002</v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-5.5998498176516268E-2</v>
      </c>
      <c r="D34" s="245">
        <f>D33/(Common_Shares/Data!$C$4)</f>
        <v>-9.0854011061600265E-2</v>
      </c>
      <c r="E34" s="245">
        <f>IF(E33="","",E33/(Common_Shares/Data!$C$4))</f>
        <v>3.5207263105081696E-2</v>
      </c>
      <c r="F34" s="245">
        <f>IF(F33="","",F33/(Common_Shares/Data!$C$4))</f>
        <v>6.458319441874677E-2</v>
      </c>
      <c r="G34" s="139">
        <f>INDEX(D34:F34,Projections!E2)</f>
        <v>6.458319441874677E-2</v>
      </c>
      <c r="H34" s="6"/>
      <c r="I34" s="43"/>
    </row>
    <row r="35" spans="1:9" ht="15.75" customHeight="1">
      <c r="B35" s="141" t="s">
        <v>305</v>
      </c>
      <c r="C35" s="273">
        <f>Dashboard!C31</f>
        <v>1.89</v>
      </c>
      <c r="D35" s="149">
        <f ca="1">D10</f>
        <v>0.06</v>
      </c>
      <c r="E35" s="149">
        <f ca="1">IF(E10="","",E10)</f>
        <v>0.06</v>
      </c>
      <c r="F35" s="149" t="str">
        <f>IF(F10="","",F10)</f>
        <v/>
      </c>
      <c r="G35" s="149">
        <f ca="1">G10</f>
        <v>0.06</v>
      </c>
      <c r="I35" s="43"/>
    </row>
    <row r="36" spans="1:9" ht="15.75" customHeight="1" thickBot="1">
      <c r="B36" s="142" t="s">
        <v>304</v>
      </c>
      <c r="C36" s="75"/>
      <c r="D36" s="278">
        <f ca="1">IF(D35="","",C35*D35)</f>
        <v>0.11339999999999999</v>
      </c>
      <c r="E36" s="278">
        <f ca="1">IF(E35="","", $D$36)</f>
        <v>0.11339999999999999</v>
      </c>
      <c r="F36" s="278" t="str">
        <f>IF(F35="","", $D$36)</f>
        <v/>
      </c>
      <c r="G36" s="278">
        <f ca="1">C35*G35</f>
        <v>0.11339999999999999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0.27336180786940617</v>
      </c>
      <c r="D37" s="245">
        <f ca="1">IF(D36="","",D34-D36)</f>
        <v>-0.20425401106160024</v>
      </c>
      <c r="E37" s="245">
        <f ca="1">IF(E36="","",E34-E36)</f>
        <v>-7.8192736894918291E-2</v>
      </c>
      <c r="F37" s="245" t="str">
        <f>IF(F36="","",F34-F36)</f>
        <v/>
      </c>
      <c r="G37" s="275">
        <f ca="1">G34-G36</f>
        <v>-4.8816805581253217E-2</v>
      </c>
      <c r="I37" s="43" t="s">
        <v>302</v>
      </c>
    </row>
    <row r="38" spans="1:9" ht="15.75" customHeight="1">
      <c r="B38" s="5" t="s">
        <v>125</v>
      </c>
      <c r="C38" s="144"/>
      <c r="D38" s="149">
        <f ca="1">D11</f>
        <v>1.06</v>
      </c>
      <c r="E38" s="149">
        <f ca="1">E11</f>
        <v>1.1236000000000002</v>
      </c>
      <c r="F38" s="149" t="str">
        <f>F11</f>
        <v/>
      </c>
      <c r="G38" s="149">
        <f ca="1">IF(F34="",IF(E34="",1,D38),E38)*(1+G35)*(1+G35-C37)</f>
        <v>0.93689867303861152</v>
      </c>
      <c r="I38" s="43"/>
    </row>
    <row r="39" spans="1:9" ht="15.75" customHeight="1">
      <c r="B39" s="85" t="s">
        <v>310</v>
      </c>
      <c r="C39" s="145"/>
      <c r="D39" s="279">
        <f ca="1">IF(D37="","",D37/D38)</f>
        <v>-0.19269246326566059</v>
      </c>
      <c r="E39" s="279">
        <f ca="1">IF(E37="","",E37/E38)</f>
        <v>-6.9591257471447385E-2</v>
      </c>
      <c r="F39" s="279" t="str">
        <f>IF(F37="","",F37/F38)</f>
        <v/>
      </c>
      <c r="G39" s="279">
        <f ca="1">G37/G38</f>
        <v>-5.2104680032182493E-2</v>
      </c>
      <c r="I39" s="43"/>
    </row>
    <row r="40" spans="1:9" ht="15.75" customHeight="1">
      <c r="B40" s="20" t="s">
        <v>330</v>
      </c>
      <c r="C40" s="6"/>
      <c r="D40" s="6"/>
      <c r="E40" s="393" t="s">
        <v>320</v>
      </c>
      <c r="F40" s="371"/>
      <c r="G40" s="280">
        <f>Asset_Model!D7</f>
        <v>1.8488378398424457</v>
      </c>
    </row>
    <row r="41" spans="1:9" ht="15.75" customHeight="1">
      <c r="C41" s="6"/>
      <c r="D41" s="6"/>
      <c r="E41" s="391" t="s">
        <v>306</v>
      </c>
      <c r="F41" s="391"/>
      <c r="G41" s="281">
        <f ca="1">MAX((G40+SUM(D39:G39))*Exchange_Rate,0)</f>
        <v>1.5344494390731551</v>
      </c>
    </row>
    <row r="42" spans="1:9" ht="15.75" customHeight="1"/>
    <row r="43" spans="1:9" ht="15.75" customHeight="1">
      <c r="A43" s="4"/>
      <c r="B43" s="254" t="s">
        <v>331</v>
      </c>
      <c r="C43" s="6"/>
      <c r="D43" s="6"/>
      <c r="E43" s="22" t="s">
        <v>189</v>
      </c>
      <c r="F43" s="22" t="s">
        <v>325</v>
      </c>
      <c r="G43" s="22" t="s">
        <v>326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1.960058740220908</v>
      </c>
      <c r="D44" s="262" t="str">
        <f>Dashboard!J4</f>
        <v>HKD</v>
      </c>
      <c r="E44" s="263">
        <f ca="1">(C44-G16)/C9</f>
        <v>-4.26237408273622</v>
      </c>
      <c r="F44" s="263">
        <f ca="1">C44/(Data!C29*Exchange_Rate*Data!C4/Common_Shares)</f>
        <v>0.79668455551475903</v>
      </c>
      <c r="G44" s="263">
        <f ca="1">C44/(Data!C7*Data!C4*Exchange_Rate/Common_Shares)</f>
        <v>6.125227626898063</v>
      </c>
      <c r="I44" s="43"/>
    </row>
    <row r="45" spans="1:9" ht="15.75" customHeight="1">
      <c r="B45" s="6" t="s">
        <v>313</v>
      </c>
      <c r="C45" s="255">
        <f>Asset_Model!I4*1.45*Exchange_Rate</f>
        <v>3.5197332601695219</v>
      </c>
      <c r="D45" s="256" t="str">
        <f>D44</f>
        <v>HKD</v>
      </c>
      <c r="E45" s="223">
        <f>(C45-G16)/C9</f>
        <v>-33.53046525723208</v>
      </c>
      <c r="F45" s="223">
        <f>C45/(Asset_Model!I3*Exchange_Rate*Data!C4/Common_Shares)</f>
        <v>1.45</v>
      </c>
      <c r="G45" s="223">
        <f>C45/(Data!C7*Data!C4*Exchange_Rate/Common_Shares)</f>
        <v>10.999245564483706</v>
      </c>
      <c r="I45" s="43" t="s">
        <v>405</v>
      </c>
    </row>
    <row r="46" spans="1:9" ht="15.75" customHeight="1">
      <c r="B46" s="257" t="s">
        <v>314</v>
      </c>
      <c r="C46" s="258">
        <f ca="1">MIN(C45,C44)+ABS(C45-C44)*Qualitative_Analysis!E64</f>
        <v>2.7755191784314563</v>
      </c>
      <c r="D46" s="256" t="str">
        <f>D45</f>
        <v>HKD</v>
      </c>
      <c r="E46" s="223">
        <f ca="1">(C46-G16)/C9</f>
        <v>-19.564906854462858</v>
      </c>
      <c r="F46" s="223">
        <f ca="1">C46/(Asset_Model!I3*Exchange_Rate*Data!C4/Common_Shares)</f>
        <v>1.1434113074045213</v>
      </c>
      <c r="G46" s="223">
        <f ca="1">C46/(Data!C7*Data!C4*Exchange_Rate/Common_Shares)</f>
        <v>8.6735598285170337</v>
      </c>
    </row>
    <row r="47" spans="1:9" ht="15.75" customHeight="1">
      <c r="B47" s="84" t="s">
        <v>279</v>
      </c>
      <c r="C47" s="259">
        <f ca="1">MAX(G41,C44)/(1+Dashboard!I14)</f>
        <v>1.5680469921767264</v>
      </c>
      <c r="D47" s="260" t="str">
        <f>D45</f>
        <v>HKD</v>
      </c>
      <c r="E47" s="224">
        <f ca="1">(C47-G16)/C9</f>
        <v>3.0939271432456072</v>
      </c>
      <c r="F47" s="224">
        <f ca="1">C47/(Asset_Model!I3*Exchange_Rate*Data!C4/Common_Shares)</f>
        <v>0.64597739959042977</v>
      </c>
      <c r="G47" s="224">
        <f ca="1">C47/(Data!C7*Data!C4*Exchange_Rate/Common_Shares)</f>
        <v>4.9001821015184506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C57" sqref="C57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/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4">
      <c r="B5" s="6" t="s">
        <v>228</v>
      </c>
      <c r="C5" s="60"/>
      <c r="D5" s="58">
        <f>AVERAGE(D12:D16)</f>
        <v>1</v>
      </c>
      <c r="E5" s="170" t="str">
        <f>IF(D5&gt;=3.5,"Strongly agree",IF(D5&gt;=2.5,"agree",IF(D5&gt;=1.5,"unclear",IF(D5&gt;=0.5,"disagree","Strongly disagree"))))</f>
        <v>disagree</v>
      </c>
      <c r="G5" s="45"/>
    </row>
    <row r="6" spans="1:7" ht="14">
      <c r="B6" s="6" t="s">
        <v>229</v>
      </c>
      <c r="C6" s="60"/>
      <c r="D6" s="58">
        <f>AVERAGE(D24:D28)</f>
        <v>2.8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2.56</v>
      </c>
      <c r="E8" s="215">
        <f>D8/4</f>
        <v>0.64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1</v>
      </c>
      <c r="E14" s="175" t="s">
        <v>135</v>
      </c>
      <c r="F14" s="6"/>
      <c r="G14" s="119"/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2</v>
      </c>
      <c r="E16" s="175" t="s">
        <v>127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/>
    </row>
    <row r="20" spans="2:7" ht="15" customHeight="1">
      <c r="B20" s="32" t="s">
        <v>140</v>
      </c>
      <c r="D20" s="63">
        <f t="shared" si="1"/>
        <v>3</v>
      </c>
      <c r="E20" s="175" t="s">
        <v>128</v>
      </c>
      <c r="F20" s="6"/>
      <c r="G20" s="119"/>
    </row>
    <row r="21" spans="2:7" ht="15" customHeight="1">
      <c r="B21" s="32" t="s">
        <v>141</v>
      </c>
      <c r="D21" s="63">
        <f t="shared" si="1"/>
        <v>1</v>
      </c>
      <c r="E21" s="175" t="s">
        <v>135</v>
      </c>
      <c r="F21" s="6"/>
      <c r="G21" s="119"/>
    </row>
    <row r="22" spans="2:7" ht="15" customHeight="1">
      <c r="B22" s="32" t="s">
        <v>142</v>
      </c>
      <c r="D22" s="63">
        <f t="shared" si="1"/>
        <v>2</v>
      </c>
      <c r="E22" s="175" t="s">
        <v>127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3</v>
      </c>
      <c r="E24" s="175" t="s">
        <v>128</v>
      </c>
      <c r="F24" s="6"/>
      <c r="G24" s="119"/>
    </row>
    <row r="25" spans="2:7" ht="15" customHeight="1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>
      <c r="B26" s="32" t="s">
        <v>234</v>
      </c>
      <c r="D26" s="63">
        <f t="shared" si="2"/>
        <v>3</v>
      </c>
      <c r="E26" s="175" t="s">
        <v>128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0.4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1</v>
      </c>
      <c r="E31" s="175" t="s">
        <v>135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1</v>
      </c>
      <c r="E34" s="175" t="s">
        <v>135</v>
      </c>
      <c r="F34" s="6"/>
      <c r="G34" s="119"/>
    </row>
    <row r="35" spans="2:7" ht="15" customHeight="1">
      <c r="B35" s="32" t="s">
        <v>254</v>
      </c>
      <c r="D35" s="63">
        <f t="shared" si="3"/>
        <v>2</v>
      </c>
      <c r="E35" s="175" t="s">
        <v>127</v>
      </c>
      <c r="G35" s="119"/>
    </row>
    <row r="36" spans="2:7" ht="15" customHeight="1">
      <c r="B36" s="1" t="s">
        <v>151</v>
      </c>
      <c r="D36" s="64">
        <f>SUM(D37:D41)/(5*4)</f>
        <v>0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0</v>
      </c>
      <c r="E37" s="175" t="s">
        <v>150</v>
      </c>
      <c r="F37" s="6"/>
      <c r="G37" s="119"/>
    </row>
    <row r="38" spans="2:7" ht="15" customHeight="1">
      <c r="B38" s="32" t="s">
        <v>239</v>
      </c>
      <c r="D38" s="63">
        <f t="shared" si="4"/>
        <v>0</v>
      </c>
      <c r="E38" s="175" t="s">
        <v>150</v>
      </c>
      <c r="F38" s="6"/>
      <c r="G38" s="119"/>
    </row>
    <row r="39" spans="2:7" ht="15" customHeight="1">
      <c r="B39" s="32" t="s">
        <v>240</v>
      </c>
      <c r="D39" s="63">
        <f t="shared" si="4"/>
        <v>0</v>
      </c>
      <c r="E39" s="175" t="s">
        <v>150</v>
      </c>
      <c r="F39" s="6"/>
      <c r="G39" s="119"/>
    </row>
    <row r="40" spans="2:7" ht="15" customHeight="1">
      <c r="B40" s="32" t="s">
        <v>241</v>
      </c>
      <c r="D40" s="63">
        <f t="shared" si="4"/>
        <v>0</v>
      </c>
      <c r="E40" s="175" t="s">
        <v>150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0.75</v>
      </c>
      <c r="E42" s="18" t="str">
        <f>IF(D42&gt;80%,"Very High",IF(D42&lt;=20%,"Very Low",IF(D42&lt;=40%,"Low",IF(D42&lt;=60%,"Medium","High"))))</f>
        <v>High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3</v>
      </c>
      <c r="E44" s="175" t="s">
        <v>128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3</v>
      </c>
      <c r="E46" s="175" t="s">
        <v>128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2</v>
      </c>
      <c r="E48" s="175" t="s">
        <v>127</v>
      </c>
      <c r="F48" s="6"/>
      <c r="G48" s="119"/>
    </row>
    <row r="49" spans="2:8" ht="15" customHeight="1">
      <c r="B49" s="1" t="s">
        <v>159</v>
      </c>
      <c r="D49" s="64">
        <f>SUM(D50:D54)/(5*4)</f>
        <v>0.39319727891156464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2</v>
      </c>
      <c r="E53" s="175" t="s">
        <v>127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3.8639455782312924</v>
      </c>
      <c r="E54" s="175" t="s">
        <v>169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0.75</v>
      </c>
      <c r="E55" s="18" t="str">
        <f>IF(D55&gt;80%,"Very High",IF(D55&lt;=20%,"Very Low",IF(D55&lt;=40%,"Low",IF(D55&lt;=60%,"Medium","High"))))</f>
        <v>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4</v>
      </c>
      <c r="E56" s="175" t="s">
        <v>137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2</v>
      </c>
      <c r="E57" s="175" t="s">
        <v>127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3</v>
      </c>
      <c r="E59" s="175" t="s">
        <v>128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3</v>
      </c>
      <c r="E60" s="175" t="s">
        <v>128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296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0.54136054421768709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2.0913605442176868</v>
      </c>
      <c r="E64" s="217">
        <f>AVERAGE(AVERAGE(D12:D16)/4,AVERAGE(D18:D22)/4,AVERAGE(D24:D28)/4,D62)</f>
        <v>0.5228401360544217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2023-09-07T10:44:08Z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