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0CC6D2DC-DE79-4F61-9731-4465105E74A2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F24" i="7" s="1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G11" i="4" s="1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G38" i="4" s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D17" i="4"/>
  <c r="G18" i="4" s="1"/>
  <c r="C3" i="7"/>
  <c r="F25" i="7"/>
  <c r="I23" i="7"/>
  <c r="I24" i="7"/>
  <c r="C4" i="4"/>
  <c r="F26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24" i="7"/>
  <c r="D7" i="4" s="1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H24" i="7"/>
  <c r="E7" i="4" s="1"/>
  <c r="F31" i="4"/>
  <c r="I21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F9" i="4"/>
  <c r="G9" i="4"/>
  <c r="E35" i="4"/>
  <c r="F12" i="4"/>
  <c r="E38" i="4"/>
  <c r="E9" i="4"/>
  <c r="F38" i="4" l="1"/>
  <c r="F39" i="4" s="1"/>
  <c r="E22" i="4" l="1"/>
  <c r="F22" i="4" s="1"/>
  <c r="E23" i="4"/>
  <c r="F23" i="4" s="1"/>
  <c r="G23" i="4" s="1"/>
  <c r="G22" i="4" l="1"/>
  <c r="E36" i="4"/>
  <c r="E37" i="4" l="1"/>
  <c r="G39" i="4"/>
  <c r="G24" i="4"/>
  <c r="E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<sst xmlns="http://schemas.openxmlformats.org/spreadsheetml/2006/main" count="486" uniqueCount="415">
  <si>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</si>
  <si>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</si>
  <si>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</si>
  <si>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</si>
  <si>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</si>
  <si>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</si>
  <si>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</si>
  <si>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</si>
  <si>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</si>
  <si>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</si>
  <si>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</si>
  <si>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</si>
  <si>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</si>
  <si>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</si>
  <si>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</si>
  <si>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</si>
  <si>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</si>
  <si>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</si>
  <si>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</si>
  <si>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</si>
  <si>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</si>
  <si>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</si>
  <si>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</si>
  <si>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</si>
  <si>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</si>
  <si>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</si>
  <si>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</si>
  <si>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</si>
  <si>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</si>
  <si>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</si>
  <si>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</si>
  <si>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</si>
  <si>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</si>
  <si>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</si>
  <si>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</si>
  <si>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</si>
  <si>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</si>
  <si>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</si>
  <si>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</si>
  <si>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</si>
  <si>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</si>
  <si>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</si>
  <si>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</si>
  <si>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</si>
  <si>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</si>
  <si>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</si>
  <si>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</si>
  <si>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</si>
  <si>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</si>
  <si>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</si>
  <si>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</si>
  <si>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</si>
  <si>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</si>
  <si>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</si>
  <si>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</si>
  <si>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</si>
  <si>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</si>
  <si>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</si>
  <si>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</si>
  <si>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</si>
  <si>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</si>
  <si>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</si>
  <si>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</si>
  <si>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</si>
  <si>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</si>
  <si>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</si>
  <si>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</si>
  <si>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</si>
  <si>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</si>
  <si>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</si>
  <si>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</si>
  <si>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</si>
  <si>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</si>
  <si>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</si>
  <si>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</si>
  <si>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</si>
  <si>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</si>
  <si>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</si>
  <si>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</si>
  <si>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</si>
  <si>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</si>
  <si>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</si>
  <si>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</si>
  <si>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</si>
  <si>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</si>
  <si>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</si>
  <si>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</si>
  <si>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</si>
  <si>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</si>
  <si>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</si>
  <si>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</si>
  <si>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</si>
  <si>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</si>
  <si>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</si>
  <si>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</si>
  <si>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</si>
  <si>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</si>
  <si>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</si>
  <si>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</si>
  <si>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</si>
  <si>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</si>
  <si>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</si>
  <si>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</si>
  <si>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</si>
  <si>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</si>
  <si>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</si>
  <si>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</si>
  <si>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</si>
  <si>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</si>
  <si>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</si>
  <si>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</si>
  <si>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</si>
  <si>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</si>
  <si>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</si>
  <si>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</si>
  <si>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</si>
  <si>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</si>
  <si>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</si>
  <si>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</si>
  <si>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</si>
  <si>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</si>
  <si>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</si>
  <si>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</si>
  <si>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</si>
  <si>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</si>
  <si>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</si>
  <si>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</si>
  <si>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</si>
  <si>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</si>
  <si>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</si>
  <si>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</si>
  <si>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</si>
  <si>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</si>
  <si>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</si>
  <si>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</si>
  <si>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</si>
  <si>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</si>
  <si>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</si>
  <si>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</si>
  <si>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</si>
  <si>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</si>
  <si>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</si>
  <si>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</si>
  <si>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</si>
  <si>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</si>
  <si>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</si>
  <si>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</si>
  <si>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</si>
  <si>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</si>
  <si>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</si>
  <si>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</si>
  <si>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</si>
  <si>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</si>
  <si>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</si>
  <si>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</si>
  <si>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</si>
  <si>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</si>
  <si>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</si>
  <si>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</si>
  <si>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</si>
  <si>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</si>
  <si>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</si>
  <si>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</si>
  <si>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</si>
  <si>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</si>
  <si>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</si>
  <si>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</si>
  <si>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</si>
  <si>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</si>
  <si>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</si>
  <si>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</si>
  <si>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</si>
  <si>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</si>
  <si>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</si>
  <si>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</si>
  <si>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</si>
  <si>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</si>
  <si>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</si>
  <si>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</si>
  <si>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</si>
  <si>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</si>
  <si>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</si>
  <si>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</si>
  <si>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</si>
  <si>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</si>
  <si>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</si>
  <si>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</si>
  <si>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</si>
  <si>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</si>
  <si>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</si>
  <si>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</si>
  <si>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</si>
  <si>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</si>
  <si>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</si>
  <si>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</si>
  <si>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</si>
  <si>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</si>
  <si>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</si>
  <si>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</si>
  <si>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</si>
  <si>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</si>
  <si>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</si>
  <si>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</si>
  <si>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</si>
  <si>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</si>
  <si>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</si>
  <si>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</si>
  <si>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</si>
  <si>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</si>
  <si>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</si>
  <si>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</si>
  <si>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</si>
  <si>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</si>
  <si>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</si>
  <si>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</si>
  <si>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</si>
  <si>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</si>
  <si>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</si>
  <si>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</si>
  <si>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</si>
  <si>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</si>
  <si>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</si>
  <si>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</si>
  <si>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</si>
  <si>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</si>
  <si>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</si>
  <si>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</si>
  <si>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</si>
  <si>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</si>
  <si>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</si>
  <si>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</si>
  <si>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</si>
  <si>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</si>
  <si>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</si>
  <si>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</si>
  <si>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</si>
  <si>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</si>
  <si>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</si>
  <si>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</si>
  <si>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</si>
  <si>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</si>
  <si>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</si>
  <si>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</si>
  <si>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</si>
  <si>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</si>
  <si>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</si>
  <si>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</si>
  <si>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</si>
  <si>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</si>
  <si>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</si>
  <si>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</si>
  <si>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</si>
  <si>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</si>
  <si>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</si>
  <si>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</si>
  <si>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</si>
  <si>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</si>
  <si>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</si>
  <si>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</si>
  <si>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</si>
  <si>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</si>
  <si>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</si>
  <si>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</si>
  <si>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</si>
  <si>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</si>
  <si>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</si>
  <si>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</si>
  <si>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</si>
  <si>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</si>
  <si>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</si>
  <si>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</si>
  <si>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</si>
  <si>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</si>
  <si>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</si>
  <si>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</si>
  <si>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</si>
  <si>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</si>
  <si>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</si>
  <si>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</si>
  <si>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</si>
  <si>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</si>
  <si>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</si>
  <si>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</si>
  <si>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</si>
  <si>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</si>
  <si>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</si>
  <si>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</si>
  <si>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</si>
  <si>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</si>
  <si>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</si>
  <si>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</si>
  <si>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</si>
  <si>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</si>
  <si>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</si>
  <si>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</si>
  <si>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</si>
  <si>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</si>
  <si>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</si>
  <si>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</si>
  <si>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</si>
  <si>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</si>
  <si>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</si>
  <si>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</si>
  <si>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</si>
  <si>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</si>
  <si>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</si>
  <si>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</si>
  <si>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</si>
  <si>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</si>
  <si>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</si>
  <si>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</si>
  <si>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</si>
  <si>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</si>
  <si>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</si>
  <si>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</si>
  <si>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</si>
  <si>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</si>
  <si>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</si>
  <si>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</si>
  <si>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</si>
  <si>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</si>
  <si>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</si>
  <si>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</si>
  <si>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</si>
  <si>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</si>
  <si>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</si>
  <si>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</si>
  <si>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</si>
  <si>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</si>
  <si>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</si>
  <si>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</si>
  <si>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</si>
  <si>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</si>
  <si>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</si>
  <si>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</si>
  <si>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</si>
  <si>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</si>
  <si>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</si>
  <si>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</si>
  <si>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</si>
  <si>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</si>
  <si>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</si>
  <si>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</si>
  <si>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</si>
  <si>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</si>
  <si>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</si>
  <si>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</si>
  <si>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</si>
  <si>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</si>
  <si>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</si>
  <si>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</si>
  <si>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</si>
  <si>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</si>
  <si>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</si>
  <si>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</si>
  <si>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</si>
  <si>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</si>
  <si>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</si>
  <si>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</si>
  <si>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</si>
  <si>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</si>
  <si>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</si>
  <si>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</si>
  <si>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</si>
  <si>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</si>
  <si>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</si>
  <si>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</si>
  <si>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</si>
  <si>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</si>
  <si>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</si>
  <si>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</si>
  <si>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</si>
  <si>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</si>
  <si>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</si>
  <si>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</si>
  <si>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</si>
  <si>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</si>
  <si>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</si>
  <si>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</si>
  <si>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</si>
  <si>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</si>
  <si>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</si>
  <si>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</si>
  <si>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</si>
  <si>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</si>
  <si>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</si>
  <si>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</si>
  <si>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</si>
  <si>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</si>
  <si>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</si>
  <si>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</si>
  <si>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</si>
  <si>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</si>
  <si>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</si>
  <si>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</si>
  <si>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</si>
  <si>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</si>
  <si>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</si>
  <si>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</si>
  <si>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</si>
  <si>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</si>
  <si>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</si>
  <si>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</si>
  <si>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</si>
  <si>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</si>
  <si>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</si>
  <si>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</si>
  <si>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</si>
  <si>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</si>
  <si>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</si>
  <si>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</si>
  <si>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</si>
  <si>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</si>
  <si>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</si>
  <si>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>FCInv 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</si>
</sst>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6" sqref="D6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379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380</v>
      </c>
      <c r="D4" s="336"/>
      <c r="E4" s="6"/>
      <c r="G4" s="5" t="s">
        <v>5</v>
      </c>
      <c r="I4" s="221">
        <v>7.83</v>
      </c>
      <c r="J4" s="222" t="s">
        <v>6</v>
      </c>
      <c r="K4" s="92"/>
    </row>
    <row r="5" spans="1:12" ht="15.75" customHeight="1">
      <c r="B5" s="5" t="s">
        <v>7</v>
      </c>
      <c r="C5" s="337">
        <v>45154</v>
      </c>
      <c r="D5" s="336"/>
      <c r="E5" s="79" t="str">
        <f ca="1">IF(C5+30&gt;=TODAY(),"Patience Premium","")</f>
        <v>Patience Premium</v>
      </c>
      <c r="G5" s="5" t="s">
        <v>8</v>
      </c>
      <c r="I5" s="346">
        <v>791574976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47">
        <f>I4*I5/1000000</f>
        <v>6198.0320620800003</v>
      </c>
      <c r="J6" s="347"/>
      <c r="K6" s="91"/>
    </row>
    <row r="7" spans="1:12" ht="15.75" customHeight="1">
      <c r="B7" s="86" t="s">
        <v>10</v>
      </c>
      <c r="C7" s="218">
        <f>(Data!C42*Exchange_Rate)/I4</f>
        <v>2.936415916811546E-2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10.641293537276098</v>
      </c>
      <c r="J9" s="166">
        <f>IF(I9="NNI","NNI",1/I9)</f>
        <v>9.3973537756197892E-2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1.5059217459466303</v>
      </c>
      <c r="J10" s="223">
        <f>I4/(Data!C7*Data!C4/Common_Shares*Exchange_Rate)</f>
        <v>0.57804732204782139</v>
      </c>
    </row>
    <row r="11" spans="1:12" ht="15.75" customHeight="1" thickBot="1">
      <c r="B11" s="124" t="s">
        <v>227</v>
      </c>
      <c r="C11" s="358">
        <f ca="1">C12-D10</f>
        <v>6.7000000000000004E-2</v>
      </c>
      <c r="D11" s="359"/>
      <c r="E11" s="13"/>
      <c r="G11" s="5" t="s">
        <v>14</v>
      </c>
      <c r="H11" s="6"/>
      <c r="I11" s="345" t="s">
        <v>6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9.6000000000000002E-2</v>
      </c>
      <c r="D12" s="357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8.3089712758100784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7.83</v>
      </c>
      <c r="C16" s="370">
        <v>0.2</v>
      </c>
      <c r="D16" s="238">
        <f ca="1">I37/B16-(1+C16)</f>
        <v>0.17621957064670113</v>
      </c>
      <c r="E16" s="351" t="s">
        <v>21</v>
      </c>
      <c r="F16" s="348">
        <f>(Val_Models!G16)*Exchange_Rate</f>
        <v>1.9014280008323869</v>
      </c>
      <c r="G16" s="351" t="s">
        <v>22</v>
      </c>
      <c r="H16" s="239">
        <f>B16-$F$16</f>
        <v>5.9285719991676133</v>
      </c>
      <c r="I16" s="364">
        <v>2.3E-2</v>
      </c>
      <c r="J16" s="166">
        <f>I16/B16</f>
        <v>2.9374201787994892E-3</v>
      </c>
    </row>
    <row r="17" spans="1:10" ht="15.75" customHeight="1">
      <c r="B17" s="116">
        <f ca="1">MIN((I37+I38)/2,I37/(1+C16), IF(J20=0,E14,I37/(1+C16)))</f>
        <v>8.7114881294058666</v>
      </c>
      <c r="C17" s="371"/>
      <c r="D17" s="149">
        <f ca="1">I37/B17-(1+C16)</f>
        <v>3.696423367549162E-2</v>
      </c>
      <c r="E17" s="352"/>
      <c r="F17" s="349"/>
      <c r="G17" s="352"/>
      <c r="H17" s="236">
        <f ca="1">B17-$F$16</f>
        <v>6.8100601285734799</v>
      </c>
      <c r="I17" s="365"/>
      <c r="J17" s="149">
        <f ca="1">I16/B17</f>
        <v>2.6401918545194214E-3</v>
      </c>
    </row>
    <row r="18" spans="1:10" ht="15.75" customHeight="1">
      <c r="B18" s="129">
        <f>C37</f>
        <v>7.4</v>
      </c>
      <c r="C18" s="372"/>
      <c r="D18" s="237">
        <f ca="1">I37/B18-(1+C16)</f>
        <v>0.25618908623833359</v>
      </c>
      <c r="E18" s="353"/>
      <c r="F18" s="350"/>
      <c r="G18" s="353"/>
      <c r="H18" s="98">
        <f>B18-$F$16</f>
        <v>5.4985719991676136</v>
      </c>
      <c r="I18" s="366"/>
      <c r="J18" s="158">
        <f>I16/B18</f>
        <v>3.108108108108108E-3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0" t="s">
        <v>383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384</v>
      </c>
      <c r="D22" s="334"/>
      <c r="E22" s="334"/>
      <c r="F22" s="334"/>
      <c r="G22" s="355" t="s">
        <v>385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387</v>
      </c>
      <c r="D23" s="344"/>
      <c r="E23" s="344"/>
      <c r="F23" s="344"/>
      <c r="G23" s="343" t="s">
        <v>386</v>
      </c>
      <c r="H23" s="343"/>
      <c r="I23" s="344"/>
      <c r="J23" s="344"/>
    </row>
    <row r="24" spans="1:10" ht="52.5" customHeight="1">
      <c r="A24" s="6"/>
      <c r="B24" s="19" t="s">
        <v>292</v>
      </c>
      <c r="C24" s="318" t="s">
        <v>408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291</v>
      </c>
      <c r="C25" s="319" t="s">
        <v>409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38"/>
      <c r="D28" s="339"/>
      <c r="E28" s="369" t="str">
        <f>IF(C28="","","Action_Planning")</f>
        <v/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0.17939393939393938</v>
      </c>
      <c r="D29" s="362"/>
      <c r="E29" s="361">
        <f>E33/D27</f>
        <v>0</v>
      </c>
      <c r="F29" s="362"/>
      <c r="G29" s="368">
        <f>G33/D27</f>
        <v>0</v>
      </c>
      <c r="H29" s="368"/>
      <c r="I29" s="367">
        <f>C29+E29+G29</f>
        <v>0.17939393939393938</v>
      </c>
      <c r="J29" s="367"/>
    </row>
    <row r="30" spans="1:10" ht="15.75" customHeight="1">
      <c r="B30" s="18" t="s">
        <v>32</v>
      </c>
      <c r="C30" s="346">
        <v>16000</v>
      </c>
      <c r="D30" s="336"/>
      <c r="E30" s="346"/>
      <c r="F30" s="336"/>
      <c r="G30" s="346"/>
      <c r="H30" s="346"/>
      <c r="I30" s="373">
        <f>C30+E30+G30</f>
        <v>16000</v>
      </c>
      <c r="J30" s="373"/>
    </row>
    <row r="31" spans="1:10" ht="15.75" customHeight="1">
      <c r="B31" s="18" t="s">
        <v>33</v>
      </c>
      <c r="C31" s="360">
        <v>7.4</v>
      </c>
      <c r="D31" s="336"/>
      <c r="E31" s="360"/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5857.6548224000007</v>
      </c>
      <c r="D32" s="362"/>
      <c r="E32" s="325">
        <f>E31*$I$5/1000000</f>
        <v>0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118400</v>
      </c>
      <c r="D33" s="375"/>
      <c r="E33" s="326">
        <f>E30*E31</f>
        <v>0</v>
      </c>
      <c r="F33" s="375"/>
      <c r="G33" s="326">
        <f>G30*G31</f>
        <v>0</v>
      </c>
      <c r="H33" s="326"/>
      <c r="I33" s="326">
        <f>C33+E33+G33</f>
        <v>118400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7.4</v>
      </c>
      <c r="F34" s="362"/>
      <c r="G34" s="78"/>
      <c r="H34" s="78"/>
      <c r="I34" s="329">
        <f>IF(I33=0,"",I33/I30)</f>
        <v>7.4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5857.6548224000007</v>
      </c>
      <c r="F35" s="374"/>
      <c r="G35" s="230"/>
      <c r="H35" s="230"/>
      <c r="I35" s="328">
        <f>IF(I34="","",I34*$I$5/1000000)</f>
        <v>5857.6548224000007</v>
      </c>
      <c r="J35" s="328"/>
    </row>
    <row r="36" spans="2:11" ht="15.75" customHeight="1"/>
    <row r="37" spans="2:11" ht="15.75" customHeight="1">
      <c r="B37" s="87" t="s">
        <v>256</v>
      </c>
      <c r="C37" s="323">
        <f>C31</f>
        <v>7.4</v>
      </c>
      <c r="D37" s="324"/>
      <c r="E37" s="79" t="str">
        <f ca="1">IF(C37&gt;B17,"Caution! &gt; Breakeven price!","")</f>
        <v/>
      </c>
      <c r="F37" s="6"/>
      <c r="G37" s="320" t="s">
        <v>316</v>
      </c>
      <c r="H37" s="320"/>
      <c r="I37" s="321">
        <f ca="1">Val_Models!C46</f>
        <v>10.775799238163669</v>
      </c>
      <c r="J37" s="322"/>
    </row>
    <row r="38" spans="2:11" ht="15.75" customHeight="1">
      <c r="B38" s="87" t="s">
        <v>281</v>
      </c>
      <c r="C38" s="323">
        <f>E34</f>
        <v>7.4</v>
      </c>
      <c r="D38" s="324"/>
      <c r="E38" s="6"/>
      <c r="F38" s="6"/>
      <c r="G38" s="320" t="s">
        <v>280</v>
      </c>
      <c r="H38" s="320"/>
      <c r="I38" s="321">
        <f ca="1">Val_Models!C47</f>
        <v>6.6471770206480629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0.45618908623833354</v>
      </c>
      <c r="F47" s="171">
        <f ca="1">I37/C38-1</f>
        <v>0.45618908623833354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-0.10173283504755914</v>
      </c>
      <c r="F48" s="171">
        <f ca="1">Val_Models!C47/C38-1</f>
        <v>-0.10173283504755914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0.59570911913272373</v>
      </c>
      <c r="F50" s="171">
        <f ca="1">IF(F47&lt;=0,0,AVERAGE(F41:F44,0.5*(1+F47+F48-C16)))</f>
        <v>0.59570911913272373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4.484187293365701</v>
      </c>
      <c r="F51" s="234">
        <f ca="1">IF(F48&gt;=0,100,F47/ABS(F48))</f>
        <v>4.484187293365701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2.8284540582916762</v>
      </c>
      <c r="F52" s="232">
        <f ca="1">MAX(C16*2.5/F47,1)+IF(F47&lt;C16,100,0)+IF(D18&lt;0,100,0)+IF(J20=1,2/(1+F47+F48-C16),0)</f>
        <v>2.8284540582916762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0.17873717482450327</v>
      </c>
      <c r="F53" s="217">
        <f ca="1">MIN(MAX(F50-ABS((1-F50)/F51),0)/F52,H53)</f>
        <v>0.17873717482450327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410</v>
      </c>
    </row>
    <row r="65" spans="2:2" ht="15.75" customHeight="1">
      <c r="B65" s="3" t="s">
        <v>413</v>
      </c>
    </row>
    <row r="66" spans="2:2" ht="15.75" customHeight="1">
      <c r="B66" s="3" t="s">
        <v>412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E7" zoomScaleNormal="100" workbookViewId="0">
      <selection activeCell="C35" sqref="C35:M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378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353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345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372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347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362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374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382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381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32" zoomScaleNormal="100" workbookViewId="0">
      <selection activeCell="D10" sqref="D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1047638.7241246243</v>
      </c>
      <c r="E6" s="149">
        <f>1-D6/D3</f>
        <v>0.74366038651515942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1.3234864111275597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389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351</v>
      </c>
      <c r="I14" s="179">
        <v>0</v>
      </c>
      <c r="J14" s="6"/>
      <c r="K14" s="47"/>
    </row>
    <row r="15" spans="1:11" ht="13.9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350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400</v>
      </c>
      <c r="G23" s="6"/>
      <c r="H23" s="6"/>
      <c r="I23" s="6"/>
    </row>
    <row r="24" spans="2:10" ht="15" customHeight="1">
      <c r="B24" s="41" t="s">
        <v>390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398</v>
      </c>
      <c r="I24" s="312">
        <f>I11+I12+I13</f>
        <v>721194</v>
      </c>
    </row>
    <row r="25" spans="2:10" ht="15" customHeight="1">
      <c r="B25" s="41" t="s">
        <v>394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401</v>
      </c>
      <c r="I25" s="184">
        <f>E28/I28</f>
        <v>1.1452720082709331</v>
      </c>
    </row>
    <row r="26" spans="2:10" ht="15" customHeight="1">
      <c r="B26" s="41" t="s">
        <v>392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393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352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391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399</v>
      </c>
      <c r="I44" s="312">
        <f>I30+I31+I32</f>
        <v>84082</v>
      </c>
    </row>
    <row r="45" spans="2:10" ht="15" customHeight="1">
      <c r="B45" s="41" t="s">
        <v>395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396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397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378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50606</v>
      </c>
      <c r="D53" s="54">
        <f>IF(E53=0, 0,E53/C53)</f>
        <v>1.5059217459466303</v>
      </c>
      <c r="E53" s="51">
        <f>MAX(C53,C53*Dashboard!I10)</f>
        <v>76208.675875375178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805276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73">
        <f>SUM(I11:I13)+SUM(I30:I32)</f>
        <v>805276</v>
      </c>
      <c r="E56" s="378"/>
      <c r="F56" s="5"/>
      <c r="G56" s="5"/>
      <c r="H56" s="6" t="s">
        <v>263</v>
      </c>
      <c r="I56" s="149">
        <f>D56/I3</f>
        <v>0.1995079170063952</v>
      </c>
    </row>
    <row r="57" spans="2:10" ht="13.9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349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>
      <c r="B63" s="32" t="s">
        <v>116</v>
      </c>
      <c r="C63" s="6"/>
      <c r="D63" s="373">
        <f>((Dashboard!I6*Data!C4)+D55+E53-C61-C62)</f>
        <v>4666182.7379553756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1.0112977915964591E-2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0.34289999999999998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0.34289999999999998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abSelected="1" topLeftCell="A16" zoomScaleNormal="100" zoomScalePageLayoutView="80" workbookViewId="0">
      <selection activeCell="B23" sqref="B23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402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406</v>
      </c>
      <c r="L4" s="36"/>
    </row>
    <row r="5" spans="1:12" ht="15.75" customHeight="1">
      <c r="B5" s="118" t="s">
        <v>403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404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405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354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356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355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14" t="s">
        <v>414</v>
      </c>
      <c r="C23" s="288"/>
      <c r="D23" s="288"/>
      <c r="E23" s="288"/>
      <c r="F23" s="95">
        <f>Data!C33</f>
        <v>1176000</v>
      </c>
      <c r="G23" s="161">
        <v>260000</v>
      </c>
      <c r="H23" s="161"/>
      <c r="I23" s="161" t="str">
        <f>IF(I16="","",IF(ABS(H24+I24)=ABS(H24)+ABS(I24),IF(I24&lt;0,-1,1)*(I24-H24)/H24,"Turn"))</f>
        <v/>
      </c>
    </row>
    <row r="24" spans="2:12" ht="15.75" customHeight="1">
      <c r="B24" s="85" t="s">
        <v>346</v>
      </c>
      <c r="C24" s="289"/>
      <c r="D24" s="289"/>
      <c r="E24" s="289"/>
      <c r="F24" s="214">
        <f>F22+F23</f>
        <v>2199356.9321999997</v>
      </c>
      <c r="G24" s="214">
        <f>IF(G16="","",G22+G23)</f>
        <v>316516.54482800013</v>
      </c>
      <c r="H24" s="214" t="str">
        <f>IF(H16="","",H22+H23)</f>
        <v/>
      </c>
      <c r="I24" s="214" t="str">
        <f>IF(I16="","",I22+I23)</f>
        <v/>
      </c>
    </row>
    <row r="25" spans="2:12" ht="15.75" customHeight="1">
      <c r="B25" s="14" t="s">
        <v>336</v>
      </c>
      <c r="C25" s="285"/>
      <c r="D25" s="285"/>
      <c r="E25" s="285"/>
      <c r="F25" s="171">
        <f>AVERAGE(Data!C54:E54)</f>
        <v>2.6497863572380802E-2</v>
      </c>
      <c r="G25" s="384"/>
      <c r="H25" s="385"/>
      <c r="I25" s="386"/>
    </row>
    <row r="26" spans="2:12" ht="15.75" customHeight="1">
      <c r="B26" s="84" t="s">
        <v>123</v>
      </c>
      <c r="C26" s="289"/>
      <c r="D26" s="289"/>
      <c r="E26" s="289"/>
      <c r="F26" s="214">
        <f>F21-F24</f>
        <v>-2093284.4321999997</v>
      </c>
      <c r="G26" s="214">
        <f>G21-G24</f>
        <v>-171313.30482799991</v>
      </c>
      <c r="H26" s="214" t="str">
        <f>IF(H21="","",H21-H24)</f>
        <v/>
      </c>
      <c r="I26" s="214" t="str">
        <f>IF(I21="","",I21-I24)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G19:G21">
    <cfRule type="containsBlanks" dxfId="11" priority="18">
      <formula>LEN(TRIM(G19))=0</formula>
    </cfRule>
  </conditionalFormatting>
  <conditionalFormatting sqref="G25">
    <cfRule type="containsBlanks" dxfId="10" priority="7">
      <formula>LEN(TRIM(G25))=0</formula>
    </cfRule>
  </conditionalFormatting>
  <conditionalFormatting sqref="H11:H14 H16:H18">
    <cfRule type="containsBlanks" priority="27">
      <formula>LEN(TRIM(H11))=0</formula>
    </cfRule>
  </conditionalFormatting>
  <conditionalFormatting sqref="H11:H24">
    <cfRule type="containsBlanks" dxfId="9" priority="26">
      <formula>LEN(TRIM(H11))=0</formula>
    </cfRule>
  </conditionalFormatting>
  <conditionalFormatting sqref="H21:I21">
    <cfRule type="containsBlanks" dxfId="8" priority="20">
      <formula>LEN(TRIM(H21))=0</formula>
    </cfRule>
  </conditionalFormatting>
  <conditionalFormatting sqref="H22:I24 H26:I26">
    <cfRule type="containsBlanks" dxfId="7" priority="8">
      <formula>LEN(TRIM(H22))=0</formula>
    </cfRule>
    <cfRule type="containsBlanks" priority="9">
      <formula>LEN(TRIM(H22))=0</formula>
    </cfRule>
  </conditionalFormatting>
  <conditionalFormatting sqref="I10:I18">
    <cfRule type="containsBlanks" priority="23">
      <formula>LEN(TRIM(I10))=0</formula>
    </cfRule>
  </conditionalFormatting>
  <conditionalFormatting sqref="I10:I24">
    <cfRule type="containsBlanks" dxfId="6" priority="22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402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403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404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405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354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357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367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358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359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360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361</v>
      </c>
      <c r="J76" s="296"/>
      <c r="K76" s="296"/>
      <c r="L76" s="296"/>
      <c r="M76" s="296"/>
    </row>
    <row r="78" spans="2:13" ht="13.15">
      <c r="B78" s="297" t="s">
        <v>366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364</v>
      </c>
      <c r="J80" s="295"/>
      <c r="K80" s="295"/>
      <c r="L80" s="295"/>
      <c r="M80" s="295"/>
    </row>
    <row r="81" spans="2:13">
      <c r="B81" s="292" t="s">
        <v>365</v>
      </c>
      <c r="J81" s="295"/>
      <c r="K81" s="295"/>
      <c r="L81" s="295"/>
      <c r="M81" s="295"/>
    </row>
    <row r="82" spans="2:13">
      <c r="B82" s="292" t="s">
        <v>363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368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369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370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371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373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375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376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377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12" sqref="G12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407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0.20511871706240814</v>
      </c>
      <c r="D6" s="171">
        <f>D7/D4</f>
        <v>2.9072407687282625E-2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2199356.9321999997</v>
      </c>
      <c r="D7" s="313">
        <f>Projections!G24</f>
        <v>316516.54482800013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-2093284.4321999997</v>
      </c>
      <c r="D8" s="210">
        <f>Projections!G21-D7</f>
        <v>-171313.30482799991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-2.6444550366887793</v>
      </c>
      <c r="D9" s="248">
        <f>D8/(Common_Shares/Data!$C$4)</f>
        <v>-0.21642081928067405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-0.21642081928067408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1505122.8241246247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1.9014280008323869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-76208.675875375178</v>
      </c>
      <c r="D18" s="106">
        <f>C18/(Dashboard!I5/Data!C4)*Exchange_Rate</f>
        <v>-9.6274741099667077E-2</v>
      </c>
      <c r="E18" s="352"/>
      <c r="F18" s="89">
        <f>D15+(MIN(D4,0)*Data!C$4/Dashboard!I5)</f>
        <v>2.9812476032592521</v>
      </c>
      <c r="G18" s="88">
        <f>SUM(D16:D18)</f>
        <v>-1.0798196024268651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"&amp;G4</f>
        <v>TV after Year 1</v>
      </c>
      <c r="C21" s="265" t="s">
        <v>388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11.116487894792453</v>
      </c>
      <c r="G22" s="271">
        <f>F22*Exchange_Rate</f>
        <v>11.116487894792453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20.194009581379976</v>
      </c>
      <c r="G23" s="272">
        <f>F23*Exchange_Rate</f>
        <v>20.194009581379976</v>
      </c>
      <c r="I23" s="43" t="s">
        <v>411</v>
      </c>
    </row>
    <row r="24" spans="1:9" ht="15.5" customHeight="1">
      <c r="C24" s="6"/>
      <c r="D24" s="6"/>
      <c r="E24" s="388" t="s">
        <v>335</v>
      </c>
      <c r="F24" s="389"/>
      <c r="G24" s="143">
        <f>MIN(G22,G23)+ABS(G22-G23)*Qualitative_Analysis!$E$64</f>
        <v>15.392649003581361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-2093284.4321999997</v>
      </c>
      <c r="D28" s="51">
        <f>D8</f>
        <v>-171313.30482799991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-2117442.7121999995</v>
      </c>
      <c r="D33" s="210">
        <f>D28-D32</f>
        <v>-197887.41282799991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-2.6749742935279444</v>
      </c>
      <c r="D34" s="245">
        <f>D33/(Common_Shares/Data!$C$4)</f>
        <v>-0.24999200180375575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-0.24999200180375575</v>
      </c>
      <c r="H34" s="6"/>
      <c r="I34" s="43"/>
    </row>
    <row r="35" spans="1:9" ht="15.75" customHeight="1">
      <c r="B35" s="141" t="s">
        <v>306</v>
      </c>
      <c r="C35" s="273">
        <f>Dashboard!C31</f>
        <v>7.4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0.71040000000000003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-0.96039200180375572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-1.002492147485101</v>
      </c>
      <c r="I39" s="43"/>
    </row>
    <row r="40" spans="1:9" ht="15.75" customHeight="1">
      <c r="B40" s="20" t="s">
        <v>333</v>
      </c>
      <c r="C40" s="6"/>
      <c r="D40" s="6"/>
      <c r="E40" s="390" t="s">
        <v>321</v>
      </c>
      <c r="F40" s="320"/>
      <c r="G40" s="280">
        <f>Asset_Model!D7</f>
        <v>1.3234864111275597</v>
      </c>
    </row>
    <row r="41" spans="1:9" ht="15.75" customHeight="1">
      <c r="C41" s="6"/>
      <c r="D41" s="6"/>
      <c r="E41" s="388" t="s">
        <v>307</v>
      </c>
      <c r="F41" s="388"/>
      <c r="G41" s="281">
        <f ca="1">MAX((G40+SUM(D39:G39))*Exchange_Rate,0)</f>
        <v>0.32099426364245875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8.3089712758100784</v>
      </c>
      <c r="D44" s="262" t="str">
        <f>Dashboard!J4</f>
        <v>HKD</v>
      </c>
      <c r="E44" s="263">
        <f ca="1">(C44-G16)/C9</f>
        <v>-2.4230108608693968</v>
      </c>
      <c r="F44" s="263">
        <f ca="1">C44/(Data!C29*Exchange_Rate*Data!C4/Common_Shares)</f>
        <v>1.5980409362309467</v>
      </c>
      <c r="G44" s="263">
        <f ca="1">C44/(Data!C7*Data!C4*Exchange_Rate/Common_Shares)</f>
        <v>0.61340722796351033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-4.4032421175502856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10.775799238163669</v>
      </c>
      <c r="D46" s="256" t="str">
        <f>D45</f>
        <v>HKD</v>
      </c>
      <c r="E46" s="223">
        <f ca="1">(C46-G16)/C9</f>
        <v>-3.355841227855858</v>
      </c>
      <c r="F46" s="223">
        <f ca="1">C46/(Asset_Model!I3*Exchange_Rate*Data!C4/Common_Shares)</f>
        <v>2.1132794334555052</v>
      </c>
      <c r="G46" s="223">
        <f ca="1">C46/(Data!C7*Data!C4*Exchange_Rate/Common_Shares)</f>
        <v>0.79552003736212806</v>
      </c>
    </row>
    <row r="47" spans="1:9" ht="15.75" customHeight="1">
      <c r="B47" s="84" t="s">
        <v>280</v>
      </c>
      <c r="C47" s="259">
        <f ca="1">MAX(G41,C44)/(1+Dashboard!I14)</f>
        <v>6.6471770206480629</v>
      </c>
      <c r="D47" s="260" t="str">
        <f>D45</f>
        <v>HKD</v>
      </c>
      <c r="E47" s="224">
        <f ca="1">(C47-G16)/C9</f>
        <v>-1.794603785647271</v>
      </c>
      <c r="F47" s="224">
        <f ca="1">C47/(Asset_Model!I3*Exchange_Rate*Data!C4/Common_Shares)</f>
        <v>1.303600983815975</v>
      </c>
      <c r="G47" s="224">
        <f ca="1">C47/(Data!C7*Data!C4*Exchange_Rate/Common_Shares)</f>
        <v>0.49072578237080827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348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2023-08-30T15:27:00Z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