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762EDFA-0535-4F3B-AF0C-FC873CDD885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F45" i="1" l="1"/>
  <c r="F48" i="1" s="1"/>
  <c r="D16" i="1"/>
  <c r="F31" i="4"/>
  <c r="E45" i="1"/>
  <c r="E48" i="1" s="1"/>
  <c r="E31" i="4"/>
  <c r="E46" i="1"/>
  <c r="F46" i="1"/>
  <c r="F32" i="4"/>
  <c r="E32" i="4"/>
  <c r="I36" i="1"/>
  <c r="B17" i="1" s="1"/>
  <c r="D17" i="1" s="1"/>
  <c r="F50" i="1" l="1"/>
  <c r="F49" i="1"/>
  <c r="F51" i="1" s="1"/>
  <c r="E50" i="1"/>
  <c r="E49" i="1"/>
  <c r="H17" i="1"/>
  <c r="J17" i="1"/>
  <c r="E51" i="1" l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<sst xmlns="http://schemas.openxmlformats.org/spreadsheetml/2006/main" count="411" uniqueCount="341">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</sst>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13" zoomScaleNormal="100" workbookViewId="0">
      <selection activeCell="J18" sqref="J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329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330</v>
      </c>
      <c r="D4" s="375"/>
      <c r="E4" s="6"/>
      <c r="G4" s="5" t="s">
        <v>5</v>
      </c>
      <c r="I4" s="32">
        <v>2.4700000000000002</v>
      </c>
      <c r="J4" s="33" t="s">
        <v>6</v>
      </c>
      <c r="K4" s="149"/>
    </row>
    <row r="5" spans="1:12" ht="15.75" customHeight="1">
      <c r="B5" s="5" t="s">
        <v>7</v>
      </c>
      <c r="C5" s="376">
        <v>44771</v>
      </c>
      <c r="D5" s="375"/>
      <c r="E5" s="120" t="str">
        <f ca="1">IF(C5+30&gt;=TODAY(),"Patience Premium","")</f>
        <v/>
      </c>
      <c r="G5" s="5" t="s">
        <v>8</v>
      </c>
      <c r="I5" s="386">
        <v>1826710016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4511.9737395200009</v>
      </c>
      <c r="J6" s="389"/>
      <c r="K6" s="148"/>
    </row>
    <row r="7" spans="1:12" ht="15.75" customHeight="1">
      <c r="B7" s="136" t="s">
        <v>10</v>
      </c>
      <c r="C7" s="142">
        <f>(Data!C39*Exchange_Rate)/I4</f>
        <v>3.2719826958856703E-2</v>
      </c>
      <c r="D7" s="142">
        <f>(Data!C40*Exchange_Rate)/I4</f>
        <v>1.2909206339085743E-2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1.003955040602341</v>
      </c>
      <c r="J10" s="127">
        <f>IF(Asset_Model!D60/'FCFF Model'!C4&lt;0,"Negative EV",Asset_Model!D60/'FCFF Model'!C4)</f>
        <v>11.989184385788693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1.973811082503208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2.4700000000000002</v>
      </c>
      <c r="C16" s="420">
        <v>0.25</v>
      </c>
      <c r="D16" s="156">
        <f ca="1">I35/B16-(1+J25)</f>
        <v>-6.3563347532966219E-2</v>
      </c>
      <c r="E16" s="393" t="s">
        <v>23</v>
      </c>
      <c r="F16" s="390">
        <f>('FCFF Model'!G16)*Exchange_Rate</f>
        <v>1.9065785589911606</v>
      </c>
      <c r="G16" s="393" t="s">
        <v>24</v>
      </c>
      <c r="H16" s="355">
        <f>B16-$F$16</f>
        <v>0.56342144100883962</v>
      </c>
      <c r="I16" s="411">
        <v>0</v>
      </c>
      <c r="J16" s="158">
        <f>I16/B16</f>
        <v>0</v>
      </c>
    </row>
    <row r="17" spans="1:10" ht="15.75" customHeight="1">
      <c r="B17" s="269">
        <f ca="1">(I35+I36)/2</f>
        <v>2.1993520214429245</v>
      </c>
      <c r="C17" s="421"/>
      <c r="D17" s="268">
        <f ca="1">I35/B17-(1+J25)</f>
        <v>7.6284334761468342E-2</v>
      </c>
      <c r="E17" s="394"/>
      <c r="F17" s="391"/>
      <c r="G17" s="394"/>
      <c r="H17" s="356">
        <f ca="1">B17-$F$16</f>
        <v>0.29277346245176394</v>
      </c>
      <c r="I17" s="412"/>
      <c r="J17" s="159">
        <f ca="1">I16/B17</f>
        <v>0</v>
      </c>
    </row>
    <row r="18" spans="1:10" ht="15.75" customHeight="1">
      <c r="B18" s="323">
        <f>C35</f>
        <v>2.2000000000000002</v>
      </c>
      <c r="C18" s="422"/>
      <c r="D18" s="157">
        <f ca="1">I35/B18-(1+J25)</f>
        <v>7.5908423451624296E-2</v>
      </c>
      <c r="E18" s="395"/>
      <c r="F18" s="392"/>
      <c r="G18" s="395"/>
      <c r="H18" s="357">
        <f>B18-$F$16</f>
        <v>0.2934214410088396</v>
      </c>
      <c r="I18" s="413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332</v>
      </c>
      <c r="D22" s="398"/>
      <c r="E22" s="398"/>
      <c r="F22" s="398"/>
      <c r="G22" s="397" t="s">
        <v>334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333</v>
      </c>
      <c r="D23" s="383"/>
      <c r="E23" s="383"/>
      <c r="F23" s="383"/>
      <c r="G23" s="382" t="s">
        <v>335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328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0.2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0.2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/>
      <c r="F28" s="398"/>
      <c r="G28" s="386"/>
      <c r="H28" s="387"/>
      <c r="I28" s="426">
        <f>C28+E28+G28</f>
        <v>60000</v>
      </c>
      <c r="J28" s="426"/>
    </row>
    <row r="29" spans="1:10" ht="15.75" customHeight="1">
      <c r="B29" s="23" t="s">
        <v>35</v>
      </c>
      <c r="C29" s="437">
        <v>2.2000000000000002</v>
      </c>
      <c r="D29" s="398"/>
      <c r="E29" s="437">
        <v>2.2000000000000002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4018.7620352000004</v>
      </c>
      <c r="D30" s="432"/>
      <c r="E30" s="424">
        <f>E29*$I$5/1000000</f>
        <v>4018.7620352000004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132000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132000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2.2000000000000002</v>
      </c>
      <c r="F32" s="409"/>
      <c r="G32" s="115"/>
      <c r="H32" s="115"/>
      <c r="I32" s="427">
        <f>IF(I31=0,"",I31/I28)</f>
        <v>2.2000000000000002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4018.7620352000004</v>
      </c>
      <c r="F33" s="432"/>
      <c r="G33" s="116"/>
      <c r="H33" s="116"/>
      <c r="I33" s="424">
        <f>IF(I32="","",I32*$I$5/1000000)</f>
        <v>4018.7620352000004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2.2000000000000002</v>
      </c>
      <c r="D35" s="365"/>
      <c r="G35" s="366" t="s">
        <v>317</v>
      </c>
      <c r="H35" s="367"/>
      <c r="I35" s="362">
        <f ca="1">'FCFF Model'!C31</f>
        <v>2.8069985315935737</v>
      </c>
      <c r="J35" s="363"/>
    </row>
    <row r="36" spans="2:11" ht="15.75" customHeight="1">
      <c r="B36" s="143" t="s">
        <v>318</v>
      </c>
      <c r="C36" s="364">
        <f>E32</f>
        <v>2.2000000000000002</v>
      </c>
      <c r="D36" s="365"/>
      <c r="G36" s="361" t="s">
        <v>315</v>
      </c>
      <c r="H36" s="361"/>
      <c r="I36" s="362">
        <f ca="1">'FCFF Model'!C32</f>
        <v>1.5917055112922753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0.27590842345162425</v>
      </c>
      <c r="F45" s="332">
        <f ca="1">I35/C36-1</f>
        <v>0.27590842345162425</v>
      </c>
    </row>
    <row r="46" spans="2:11" ht="15.75" customHeight="1">
      <c r="B46" s="3" t="s">
        <v>300</v>
      </c>
      <c r="E46" s="329">
        <f ca="1">'FCFF Model'!C32/C29-1</f>
        <v>-0.27649749486714759</v>
      </c>
      <c r="F46" s="332">
        <f ca="1">'FCFF Model'!C32/C36-1</f>
        <v>-0.27649749486714759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0.76847645066250858</v>
      </c>
      <c r="F48" s="329">
        <f ca="1">IF(F45&lt;=0,0,AVERAGE(F39:F41,1-F42,F45/J25))</f>
        <v>0.76847645066250858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0.99786952349855329</v>
      </c>
      <c r="F49" s="328">
        <f ca="1">IF(F46&gt;=0,100,F45/ABS(F46))</f>
        <v>0.99786952349855329</v>
      </c>
      <c r="G49" s="73"/>
    </row>
    <row r="50" spans="2:9" ht="15.75" customHeight="1">
      <c r="B50" s="3" t="s">
        <v>327</v>
      </c>
      <c r="E50" s="358">
        <f ca="1">MAX(J25*2/E45,1)</f>
        <v>1.4497563901673813</v>
      </c>
      <c r="F50" s="358">
        <f ca="1">MAX(J25*2/F45,1)</f>
        <v>1.4497563901673813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0.37003361141856456</v>
      </c>
      <c r="F51" s="327">
        <f ca="1">MIN(MAX(F48-ABS((1-F48)/F49),0)/F50,H51)</f>
        <v>0.37003361141856456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8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393808.73952000123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1.973811082503208</v>
      </c>
      <c r="D27" s="117" t="str">
        <f>Dashboard!J4</f>
        <v>HKD</v>
      </c>
      <c r="E27" s="118">
        <f ca="1">(C27-G16)/C9</f>
        <v>3.9357699605799961</v>
      </c>
      <c r="F27" s="155">
        <f ca="1">C27/(Data!C28*Exchange_Rate*Data!C4/Common_Shares)</f>
        <v>0.80227432610358651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Analysis'!E64</f>
        <v>2.8069985315935737</v>
      </c>
      <c r="D31" s="334" t="str">
        <f>D30</f>
        <v>HKD</v>
      </c>
      <c r="E31" s="118">
        <f ca="1">(C31-G16)/C9</f>
        <v>52.7102910162195</v>
      </c>
      <c r="F31" s="155">
        <f ca="1">C31/(Asset_Model!I3*Exchange_Rate*Data!C4/Common_Shares)</f>
        <v>1.1409313055695294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1.5917055112922753</v>
      </c>
      <c r="D32" s="334" t="str">
        <f>D30</f>
        <v>HKD</v>
      </c>
      <c r="E32" s="118">
        <f ca="1">(C32-G16)/C9</f>
        <v>-18.432565338819678</v>
      </c>
      <c r="F32" s="155">
        <f ca="1">C32/(Asset_Model!I3*Exchange_Rate*Data!C4/Common_Shares)</f>
        <v>0.64696387498639918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2023-06-30T09:11:50Z</dcterms:modified>
  <cp:category/>
  <cp:contentStatus/>
</cp:coreProperties>
</file>