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3906FCDF-F1D9-4585-886F-DE3B9B58E68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<sst xmlns="http://schemas.openxmlformats.org/spreadsheetml/2006/main" count="411" uniqueCount="342">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</sst>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E51" sqref="E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1.65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2199.9945791999999</v>
      </c>
      <c r="J6" s="389"/>
      <c r="K6" s="148"/>
    </row>
    <row r="7" spans="1:12" ht="15.75" customHeight="1">
      <c r="B7" s="136" t="s">
        <v>10</v>
      </c>
      <c r="C7" s="142">
        <f>(Data!C39*Exchange_Rate)/I4</f>
        <v>4.7253344997732677E-2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31.429272715345942</v>
      </c>
      <c r="J9" s="48">
        <f>IF(I9="NNI","NNI",1/I9)</f>
        <v>3.1817471853611522E-2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0.72148324964956101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1.0813883145650227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1.6926532590520276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1.65</v>
      </c>
      <c r="C16" s="420">
        <v>0.25</v>
      </c>
      <c r="D16" s="156">
        <f>I35/B16-(1+J25)</f>
        <v>-7.7881714669815638E-2</v>
      </c>
      <c r="E16" s="393" t="s">
        <v>23</v>
      </c>
      <c r="F16" s="390">
        <f>('FCFF Model'!G16)*Exchange_Rate</f>
        <v>1.8883087458459027</v>
      </c>
      <c r="G16" s="393" t="s">
        <v>24</v>
      </c>
      <c r="H16" s="355">
        <f>B16-$F$16</f>
        <v>-0.23830874584590278</v>
      </c>
      <c r="I16" s="411">
        <v>2.5100000000000001E-2</v>
      </c>
      <c r="J16" s="158">
        <f>I16/B16</f>
        <v>1.5212121212121213E-2</v>
      </c>
    </row>
    <row r="17" spans="1:10" ht="15.75" customHeight="1">
      <c r="B17" s="269">
        <f>(I35+I36)/2</f>
        <v>1.6028088890182131</v>
      </c>
      <c r="C17" s="421"/>
      <c r="D17" s="268">
        <f>I35/B17-(1+J25)</f>
        <v>-4.4843459828250776E-2</v>
      </c>
      <c r="E17" s="394"/>
      <c r="F17" s="391"/>
      <c r="G17" s="394"/>
      <c r="H17" s="356">
        <f>B17-$F$16</f>
        <v>-0.28549985682768964</v>
      </c>
      <c r="I17" s="412"/>
      <c r="J17" s="159">
        <f>I16/B17</f>
        <v>1.5660007984716624E-2</v>
      </c>
    </row>
    <row r="18" spans="1:10" ht="15.75" customHeight="1">
      <c r="B18" s="323">
        <f>C35</f>
        <v>1.37</v>
      </c>
      <c r="C18" s="422"/>
      <c r="D18" s="157">
        <f>I35/B18-(1+J25)</f>
        <v>0.15145632904730211</v>
      </c>
      <c r="E18" s="395"/>
      <c r="F18" s="392"/>
      <c r="G18" s="395"/>
      <c r="H18" s="357">
        <f>B18-$F$16</f>
        <v>-0.51830874584590259</v>
      </c>
      <c r="I18" s="413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0.12454545454545454</v>
      </c>
      <c r="F27" s="409"/>
      <c r="G27" s="415">
        <f>G31/D25</f>
        <v>0</v>
      </c>
      <c r="H27" s="416"/>
      <c r="I27" s="414">
        <f>C27+E27+G27</f>
        <v>0.27963636363636363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>
        <v>60000</v>
      </c>
      <c r="F28" s="398"/>
      <c r="G28" s="386"/>
      <c r="H28" s="387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398"/>
      <c r="E29" s="437">
        <v>1.37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1826.6621657600003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82200</v>
      </c>
      <c r="F31" s="435"/>
      <c r="G31" s="370">
        <f>G28*G29</f>
        <v>0</v>
      </c>
      <c r="H31" s="371"/>
      <c r="I31" s="425">
        <f>C31+E31+G31</f>
        <v>184560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1.538</v>
      </c>
      <c r="F32" s="409"/>
      <c r="G32" s="115"/>
      <c r="H32" s="115"/>
      <c r="I32" s="427">
        <f>IF(I31=0,"",I31/I28)</f>
        <v>1.538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2050.6616138240001</v>
      </c>
      <c r="F33" s="432"/>
      <c r="G33" s="116"/>
      <c r="H33" s="116"/>
      <c r="I33" s="424">
        <f>IF(I32="","",I32*$I$5/1000000)</f>
        <v>2050.6616138240001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1.37</v>
      </c>
      <c r="D35" s="365"/>
      <c r="G35" s="366" t="s">
        <v>317</v>
      </c>
      <c r="H35" s="367"/>
      <c r="I35" s="362">
        <f>'FCFF Model'!C31</f>
        <v>1.851495170794804</v>
      </c>
      <c r="J35" s="363"/>
    </row>
    <row r="36" spans="2:11" ht="15.75" customHeight="1">
      <c r="B36" s="143" t="s">
        <v>318</v>
      </c>
      <c r="C36" s="364">
        <f>E32</f>
        <v>1.538</v>
      </c>
      <c r="D36" s="365"/>
      <c r="G36" s="361" t="s">
        <v>315</v>
      </c>
      <c r="H36" s="361"/>
      <c r="I36" s="362">
        <f>'FCFF Model'!C32</f>
        <v>1.3541226072416221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8.5284390852757408E-2</v>
      </c>
      <c r="F45" s="332">
        <f>I35/C36-1</f>
        <v>0.20383301091989847</v>
      </c>
    </row>
    <row r="46" spans="2:11" ht="15.75" customHeight="1">
      <c r="B46" s="3" t="s">
        <v>300</v>
      </c>
      <c r="E46" s="329">
        <f>I36/C29-1</f>
        <v>-0.20625872963562597</v>
      </c>
      <c r="F46" s="332">
        <f>I36/C36-1</f>
        <v>-0.11955617214458902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0.56146126160105669</v>
      </c>
      <c r="F48" s="329">
        <f>IF(F45&lt;=0,0,AVERAGE(F39:F41,1-F42,F45/J25))</f>
        <v>0.68000988166819776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0.4134825760025756</v>
      </c>
      <c r="F49" s="328">
        <f>IF(F46&gt;=0,100,F45/ABS(F46))</f>
        <v>1.7049141609634892</v>
      </c>
      <c r="G49" s="73"/>
    </row>
    <row r="50" spans="2:9" ht="15.75" customHeight="1">
      <c r="B50" s="3" t="s">
        <v>340</v>
      </c>
      <c r="E50" s="358">
        <f>MAX(J25*2/E45,1)</f>
        <v>4.6901900336087969</v>
      </c>
      <c r="F50" s="358">
        <f>MAX(J25*2/F45,1)</f>
        <v>1.9623906755574076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0.25087916990967063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2.2810371983978817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1.5018146084778541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-639521.42079999996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1.6926532590520276</v>
      </c>
      <c r="D27" s="117" t="str">
        <f>Dashboard!J4</f>
        <v>HKD</v>
      </c>
      <c r="E27" s="118">
        <f>(C27-G16)/C9</f>
        <v>-210.38392532774566</v>
      </c>
      <c r="F27" s="155">
        <f>C27/(Data!C28*Exchange_Rate*Data!C4/Common_Shares)</f>
        <v>0.74013392355804675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2.0529334785580935</v>
      </c>
      <c r="D30" s="334" t="str">
        <f>D27</f>
        <v>HKD</v>
      </c>
      <c r="E30" s="118">
        <f>(C30-G16)/C9</f>
        <v>1205.4307430495046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1.851495170794804</v>
      </c>
      <c r="D31" s="334" t="str">
        <f>D30</f>
        <v>HKD</v>
      </c>
      <c r="E31" s="118">
        <f>(C31-G16)/C9</f>
        <v>413.82660975748962</v>
      </c>
      <c r="F31" s="155">
        <f>C31/(Asset_Model!I3*Exchange_Rate*Data!C4/Common_Shares)</f>
        <v>0.81169003824015995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1.3541226072416221</v>
      </c>
      <c r="D32" s="334" t="str">
        <f>D30</f>
        <v>HKD</v>
      </c>
      <c r="E32" s="118">
        <f>(C32-G16)/C9</f>
        <v>-1540.7280202258387</v>
      </c>
      <c r="F32" s="155">
        <f>C32/(Asset_Model!I3*Exchange_Rate*Data!C4/Common_Shares)</f>
        <v>0.59364336898701564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2023-06-30T09:11:55Z</dcterms:modified>
  <cp:category/>
  <cp:contentStatus/>
</cp:coreProperties>
</file>