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CBB8F69F-00A3-4AA4-B6B3-C955D932D5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G19" i="4" l="1"/>
  <c r="D7" i="3" l="1"/>
  <c r="E29" i="4"/>
  <c r="I36" i="1" l="1"/>
  <c r="B16" i="1"/>
  <c r="E26" i="1"/>
  <c r="C36" i="1"/>
  <c r="B18" i="1"/>
  <c r="E7" i="3"/>
  <c r="E6" i="1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D33" i="2" s="1"/>
  <c r="D34" i="2" s="1"/>
  <c r="I6" i="3"/>
  <c r="E58" i="3"/>
  <c r="D58" i="3" s="1"/>
  <c r="D36" i="5"/>
  <c r="E33" i="2"/>
  <c r="E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 s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l="1"/>
  <c r="H14" i="1" s="1"/>
  <c r="D30" i="4"/>
  <c r="D14" i="1"/>
  <c r="F46" i="1" s="1"/>
  <c r="F14" i="1"/>
  <c r="I35" i="1" s="1"/>
  <c r="F45" i="1" s="1"/>
  <c r="F42" i="1" s="1"/>
  <c r="E42" i="1" s="1"/>
  <c r="F48" i="1" s="1"/>
  <c r="E49" i="1" l="1"/>
  <c r="F49" i="1"/>
  <c r="E50" i="1" s="1"/>
  <c r="F50" i="1" s="1"/>
  <c r="E33" i="4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<sst xmlns="http://schemas.openxmlformats.org/spreadsheetml/2006/main" count="410" uniqueCount="347">
  <si>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</si>
  <si>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</si>
  <si>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</si>
  <si>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</si>
  <si>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</si>
  <si>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</si>
  <si>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</si>
  <si>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</si>
  <si>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</si>
  <si>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</si>
  <si>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</si>
  <si>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</si>
  <si>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</si>
  <si>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</si>
  <si>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</si>
  <si>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</si>
  <si>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</si>
  <si>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</si>
  <si>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</si>
  <si>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</si>
  <si>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</si>
  <si>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</si>
  <si>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</si>
  <si>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</si>
  <si>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</si>
  <si>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</si>
  <si>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</si>
  <si>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</si>
  <si>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</si>
  <si>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</si>
  <si>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</si>
  <si>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</si>
  <si>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</si>
  <si>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</si>
  <si>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</si>
  <si>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</si>
  <si>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</si>
  <si>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</si>
  <si>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</si>
  <si>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</si>
  <si>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</si>
  <si>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</si>
  <si>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</si>
  <si>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</si>
  <si>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</si>
  <si>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</si>
  <si>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</si>
  <si>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</si>
  <si>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</si>
  <si>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</si>
  <si>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</si>
  <si>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</si>
  <si>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</si>
  <si>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</si>
  <si>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</si>
  <si>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</si>
  <si>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</si>
  <si>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</si>
  <si>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</si>
  <si>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</si>
  <si>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</si>
  <si>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</si>
  <si>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</si>
  <si>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</si>
  <si>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</si>
  <si>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</si>
  <si>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</si>
  <si>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</si>
  <si>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</si>
  <si>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</si>
  <si>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</si>
  <si>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</si>
  <si>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</si>
  <si>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</si>
  <si>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</si>
  <si>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</si>
  <si>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</si>
  <si>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</si>
  <si>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</si>
  <si>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</si>
  <si>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</si>
  <si>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</si>
  <si>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</si>
  <si>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</si>
  <si>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</si>
  <si>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</si>
  <si>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</si>
  <si>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</si>
  <si>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</si>
  <si>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</si>
  <si>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</si>
  <si>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</si>
  <si>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</si>
  <si>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</si>
  <si>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</si>
  <si>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</si>
  <si>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</si>
  <si>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</si>
  <si>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</si>
  <si>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</si>
  <si>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</si>
  <si>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</si>
  <si>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</si>
  <si>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</si>
  <si>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</si>
  <si>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</si>
  <si>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</si>
  <si>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</si>
  <si>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</si>
  <si>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</si>
  <si>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</si>
  <si>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</si>
  <si>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</si>
  <si>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</si>
  <si>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</si>
  <si>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</si>
  <si>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</si>
  <si>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</si>
  <si>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</si>
  <si>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</si>
  <si>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</si>
  <si>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</si>
  <si>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</si>
  <si>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</si>
  <si>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</si>
  <si>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</si>
  <si>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</si>
  <si>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</si>
  <si>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</si>
  <si>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</si>
  <si>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</si>
  <si>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</si>
  <si>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</si>
  <si>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</si>
  <si>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</si>
  <si>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</si>
  <si>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</si>
  <si>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</si>
  <si>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</si>
  <si>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</si>
  <si>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</si>
  <si>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</si>
  <si>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</si>
  <si>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</si>
  <si>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</si>
  <si>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</si>
  <si>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</si>
  <si>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</si>
  <si>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</si>
  <si>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</si>
  <si>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</si>
  <si>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</si>
  <si>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</si>
  <si>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</si>
  <si>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</si>
  <si>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</si>
  <si>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</si>
  <si>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</si>
  <si>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</si>
  <si>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</si>
  <si>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</si>
  <si>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</si>
  <si>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</si>
  <si>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</si>
  <si>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</si>
  <si>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</si>
  <si>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</si>
  <si>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</si>
  <si>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</si>
  <si>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</si>
  <si>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</si>
  <si>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</si>
  <si>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</si>
  <si>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</si>
  <si>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</si>
  <si>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</si>
  <si>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</si>
  <si>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</si>
  <si>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</si>
  <si>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</si>
  <si>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</si>
  <si>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</si>
  <si>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</si>
  <si>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</si>
  <si>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</si>
  <si>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</si>
  <si>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</si>
  <si>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</si>
  <si>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</si>
  <si>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</si>
  <si>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</si>
  <si>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</si>
  <si>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</si>
  <si>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</si>
  <si>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</si>
  <si>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</si>
  <si>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</si>
  <si>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</si>
  <si>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</si>
  <si>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</si>
  <si>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</si>
  <si>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</si>
  <si>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</si>
  <si>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</si>
  <si>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</si>
  <si>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</si>
  <si>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</si>
  <si>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</si>
  <si>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</si>
  <si>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</si>
  <si>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</si>
  <si>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</si>
  <si>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</si>
  <si>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</si>
  <si>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</si>
  <si>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</si>
  <si>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</si>
  <si>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</si>
  <si>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</si>
  <si>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</si>
  <si>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</si>
  <si>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</si>
  <si>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</si>
  <si>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</si>
  <si>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</si>
  <si>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</si>
  <si>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</si>
  <si>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</si>
  <si>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</si>
  <si>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</si>
  <si>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</si>
  <si>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</si>
  <si>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</si>
  <si>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</si>
  <si>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</si>
  <si>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</si>
  <si>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</si>
  <si>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</si>
  <si>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</si>
  <si>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</si>
  <si>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</si>
  <si>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</si>
  <si>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</si>
  <si>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</si>
  <si>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</si>
  <si>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</si>
  <si>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</si>
  <si>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</si>
  <si>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</si>
  <si>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</si>
  <si>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</si>
  <si>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</si>
  <si>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</si>
  <si>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</si>
  <si>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</si>
  <si>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</si>
  <si>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</si>
  <si>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</si>
  <si>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</si>
  <si>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</si>
  <si>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</si>
  <si>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</si>
  <si>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</si>
  <si>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</si>
  <si>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</si>
  <si>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</si>
  <si>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</si>
  <si>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</si>
  <si>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</si>
  <si>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</si>
  <si>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</si>
  <si>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</si>
  <si>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</si>
  <si>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</si>
  <si>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</si>
  <si>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</si>
  <si>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</si>
  <si>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</si>
  <si>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</si>
  <si>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</si>
  <si>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</si>
  <si>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</si>
  <si>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</si>
  <si>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</si>
  <si>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</si>
  <si>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</si>
  <si>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</si>
  <si>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</si>
  <si>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</si>
  <si>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</si>
  <si>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</si>
  <si>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</si>
  <si>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</si>
  <si>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</si>
  <si>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</si>
  <si>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</si>
  <si>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</si>
  <si>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</si>
  <si>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</si>
  <si>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</si>
  <si>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</si>
  <si>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</si>
  <si>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</si>
  <si>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</si>
  <si>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</si>
  <si>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</si>
  <si>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</si>
  <si>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</si>
  <si>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</si>
  <si>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</si>
  <si>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</si>
  <si>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</si>
  <si>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</si>
  <si>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</si>
  <si>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</si>
  <si>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</si>
  <si>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</si>
  <si>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</si>
  <si>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</si>
  <si>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</si>
  <si>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</si>
  <si>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</si>
  <si>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</si>
  <si>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</si>
  <si>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</si>
  <si>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</si>
  <si>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</si>
  <si>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</si>
  <si>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</si>
  <si>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</si>
  <si>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</si>
  <si>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</si>
  <si>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</si>
  <si>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</si>
  <si>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</si>
  <si>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</si>
  <si>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</si>
  <si>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</si>
  <si>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</si>
  <si>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</si>
  <si>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</si>
  <si>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</si>
  <si>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</si>
  <si>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W = The estimated probability of win</t>
  </si>
  <si>
    <t>3. The business quality rating (proxy for not overestimating the exit)</t>
  </si>
  <si>
    <t>capped at</t>
  </si>
  <si>
    <t>Fast Growers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</si>
</sst>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86" fontId="18" fillId="0" borderId="0" xfId="0" applyNumberFormat="1" applyFont="1"/>
    <xf numFmtId="0" fontId="2" fillId="0" borderId="9" xfId="0" applyFont="1" applyBorder="1" applyAlignment="1"/>
    <xf numFmtId="0" fontId="2" fillId="0" borderId="0" xfId="0" applyFont="1" applyAlignment="1"/>
    <xf numFmtId="0" fontId="2" fillId="0" borderId="58" xfId="0" applyFont="1" applyBorder="1" applyAlignment="1"/>
    <xf numFmtId="10" fontId="2" fillId="8" borderId="42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7" zoomScaleNormal="100" workbookViewId="0">
      <selection activeCell="B38" sqref="B38:J5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0" t="s">
        <v>303</v>
      </c>
      <c r="D3" s="391"/>
      <c r="E3" s="15"/>
      <c r="G3" s="7" t="s">
        <v>2</v>
      </c>
      <c r="I3" s="402" t="s">
        <v>3</v>
      </c>
      <c r="J3" s="403"/>
    </row>
    <row r="4" spans="1:12" ht="15.75" customHeight="1" x14ac:dyDescent="0.3">
      <c r="B4" s="5" t="s">
        <v>4</v>
      </c>
      <c r="C4" s="392" t="s">
        <v>304</v>
      </c>
      <c r="D4" s="393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4">
        <v>44987</v>
      </c>
      <c r="D5" s="393"/>
      <c r="E5" s="122" t="str">
        <f ca="1">IF(C5+30&gt;=TODAY(),"Patience Premium","")</f>
        <v>Patience Premium</v>
      </c>
      <c r="G5" s="5" t="s">
        <v>8</v>
      </c>
      <c r="I5" s="386">
        <v>7913203590</v>
      </c>
      <c r="J5" s="387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4">
        <f>I4*I5/1000000</f>
        <v>130567.859235</v>
      </c>
      <c r="J6" s="405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6">
        <f ca="1">C12-D10</f>
        <v>6.6799999999999998E-2</v>
      </c>
      <c r="D11" s="417"/>
      <c r="E11" s="13"/>
      <c r="G11" s="5" t="s">
        <v>15</v>
      </c>
      <c r="H11" s="6"/>
      <c r="I11" s="414" t="s">
        <v>305</v>
      </c>
      <c r="J11" s="415"/>
    </row>
    <row r="12" spans="1:12" ht="15.75" customHeight="1" thickTop="1" x14ac:dyDescent="0.3">
      <c r="B12" s="314" t="s">
        <v>145</v>
      </c>
      <c r="C12" s="418">
        <f ca="1">IF(C10="CN",8%,6%)*IF($C$5+30&gt;=TODAY(),1.2,1)</f>
        <v>9.6000000000000002E-2</v>
      </c>
      <c r="D12" s="419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425">
        <v>0.1</v>
      </c>
      <c r="D16" s="159">
        <f ca="1">IF(B17='FCFF Model'!G19,"Asset Play", H14/B16-1-C16)</f>
        <v>9.2824349864347816E-2</v>
      </c>
      <c r="E16" s="422">
        <f>'FCFF Model'!D11*Exchange_Rate</f>
        <v>0</v>
      </c>
      <c r="F16" s="161">
        <f>E16/B16</f>
        <v>0</v>
      </c>
      <c r="G16" s="409" t="s">
        <v>25</v>
      </c>
      <c r="H16" s="406">
        <f>('FCFF Model'!G19)*Exchange_Rate</f>
        <v>-2.308568405350901</v>
      </c>
      <c r="I16" s="409" t="s">
        <v>26</v>
      </c>
      <c r="J16" s="206">
        <f>B16-$H$16</f>
        <v>18.808568405350901</v>
      </c>
    </row>
    <row r="17" spans="1:10" ht="15.75" customHeight="1" x14ac:dyDescent="0.3">
      <c r="B17" s="290">
        <f ca="1">MAX(H14/(1+C16),'FCFF Model'!G19*Exchange_Rate)</f>
        <v>17.892365247965216</v>
      </c>
      <c r="C17" s="426"/>
      <c r="D17" s="289">
        <f ca="1">IF(B17='FCFF Model'!G19,"Asset Play",H14/B17-1-C16)</f>
        <v>8.3266726846886741E-17</v>
      </c>
      <c r="E17" s="423"/>
      <c r="F17" s="162">
        <f ca="1">E16/B17</f>
        <v>0</v>
      </c>
      <c r="G17" s="410"/>
      <c r="H17" s="407"/>
      <c r="I17" s="410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427"/>
      <c r="D18" s="160">
        <f ca="1">IF(B17='FCFF Model'!G19,"Asset Play", H14/B18-1-C16)</f>
        <v>0.21210678485078258</v>
      </c>
      <c r="E18" s="424"/>
      <c r="F18" s="163">
        <f>E16/B18</f>
        <v>0</v>
      </c>
      <c r="G18" s="411"/>
      <c r="H18" s="408"/>
      <c r="I18" s="411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346</v>
      </c>
      <c r="E20" s="266" t="s">
        <v>259</v>
      </c>
      <c r="G20" s="6"/>
      <c r="H20" s="6"/>
      <c r="I20" s="358"/>
    </row>
    <row r="21" spans="1:10" ht="15.75" customHeight="1" x14ac:dyDescent="0.3">
      <c r="A21" s="6"/>
      <c r="B21" s="24" t="s">
        <v>28</v>
      </c>
      <c r="C21" s="397"/>
      <c r="D21" s="398"/>
      <c r="E21" s="398"/>
      <c r="F21" s="398"/>
      <c r="G21" s="398"/>
      <c r="H21" s="398"/>
      <c r="I21" s="398"/>
      <c r="J21" s="399"/>
    </row>
    <row r="22" spans="1:10" ht="52.5" customHeight="1" x14ac:dyDescent="0.3">
      <c r="A22" s="6"/>
      <c r="B22" s="24" t="s">
        <v>29</v>
      </c>
      <c r="C22" s="413"/>
      <c r="D22" s="378"/>
      <c r="E22" s="378"/>
      <c r="F22" s="378"/>
      <c r="G22" s="413"/>
      <c r="H22" s="413"/>
      <c r="I22" s="378"/>
      <c r="J22" s="378"/>
    </row>
    <row r="23" spans="1:10" ht="52.5" customHeight="1" x14ac:dyDescent="0.3">
      <c r="A23" s="6"/>
      <c r="B23" s="25" t="s">
        <v>30</v>
      </c>
      <c r="C23" s="400"/>
      <c r="D23" s="401"/>
      <c r="E23" s="401"/>
      <c r="F23" s="401"/>
      <c r="G23" s="400"/>
      <c r="H23" s="400"/>
      <c r="I23" s="401"/>
      <c r="J23" s="40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54">
        <v>0.15</v>
      </c>
      <c r="I25" s="30" t="s">
        <v>318</v>
      </c>
      <c r="J25" s="355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395"/>
      <c r="D26" s="396"/>
      <c r="E26" s="431" t="str">
        <f>IF(C26="","","Action_Planning")</f>
        <v/>
      </c>
      <c r="F26" s="432"/>
      <c r="G26" s="432"/>
      <c r="H26" s="433"/>
      <c r="I26" s="412" t="s">
        <v>34</v>
      </c>
      <c r="J26" s="412"/>
    </row>
    <row r="27" spans="1:10" ht="15.75" customHeight="1" x14ac:dyDescent="0.3">
      <c r="B27" s="23" t="s">
        <v>35</v>
      </c>
      <c r="C27" s="421">
        <f>C31/D25</f>
        <v>5.5E-2</v>
      </c>
      <c r="D27" s="376"/>
      <c r="E27" s="420">
        <f>E31/D25</f>
        <v>0.1</v>
      </c>
      <c r="F27" s="376"/>
      <c r="G27" s="429">
        <f>G31/D25</f>
        <v>0</v>
      </c>
      <c r="H27" s="430"/>
      <c r="I27" s="428">
        <f>C27+E27+G27</f>
        <v>0.155</v>
      </c>
      <c r="J27" s="428"/>
    </row>
    <row r="28" spans="1:10" ht="15.75" customHeight="1" x14ac:dyDescent="0.3">
      <c r="B28" s="23" t="s">
        <v>36</v>
      </c>
      <c r="C28" s="377">
        <v>2000</v>
      </c>
      <c r="D28" s="378"/>
      <c r="E28" s="377">
        <v>4000</v>
      </c>
      <c r="F28" s="378"/>
      <c r="G28" s="386"/>
      <c r="H28" s="387"/>
      <c r="I28" s="366">
        <f>C28+E28+G28</f>
        <v>6000</v>
      </c>
      <c r="J28" s="366"/>
    </row>
    <row r="29" spans="1:10" ht="15.75" customHeight="1" x14ac:dyDescent="0.3">
      <c r="B29" s="23" t="s">
        <v>37</v>
      </c>
      <c r="C29" s="379">
        <v>16.5</v>
      </c>
      <c r="D29" s="378"/>
      <c r="E29" s="379">
        <v>15</v>
      </c>
      <c r="F29" s="378"/>
      <c r="G29" s="380"/>
      <c r="H29" s="381"/>
      <c r="I29" s="388"/>
      <c r="J29" s="388"/>
    </row>
    <row r="30" spans="1:10" ht="15.75" customHeight="1" x14ac:dyDescent="0.3">
      <c r="B30" s="23" t="s">
        <v>38</v>
      </c>
      <c r="C30" s="364">
        <f>C29*$I$5/1000000</f>
        <v>130567.859235</v>
      </c>
      <c r="D30" s="371"/>
      <c r="E30" s="364">
        <f>E29*$I$5/1000000</f>
        <v>118698.05385</v>
      </c>
      <c r="F30" s="371"/>
      <c r="G30" s="382">
        <f>G29*$I$5/1000000</f>
        <v>0</v>
      </c>
      <c r="H30" s="383"/>
      <c r="I30" s="389"/>
      <c r="J30" s="389"/>
    </row>
    <row r="31" spans="1:10" ht="15.75" customHeight="1" x14ac:dyDescent="0.3">
      <c r="B31" s="2" t="s">
        <v>39</v>
      </c>
      <c r="C31" s="372">
        <f>C28*C29</f>
        <v>33000</v>
      </c>
      <c r="D31" s="373"/>
      <c r="E31" s="365">
        <f>E28*E29</f>
        <v>60000</v>
      </c>
      <c r="F31" s="374"/>
      <c r="G31" s="384">
        <f>G28*G29</f>
        <v>0</v>
      </c>
      <c r="H31" s="385"/>
      <c r="I31" s="365">
        <f>C31+E31+G31</f>
        <v>93000</v>
      </c>
      <c r="J31" s="365"/>
    </row>
    <row r="32" spans="1:10" ht="15.75" customHeight="1" x14ac:dyDescent="0.3">
      <c r="B32" s="1" t="s">
        <v>40</v>
      </c>
      <c r="C32" s="367"/>
      <c r="D32" s="368"/>
      <c r="E32" s="375">
        <f>IF(C31=0,"-",(C31+E31)/(C28+E28))</f>
        <v>15.5</v>
      </c>
      <c r="F32" s="376"/>
      <c r="G32" s="117"/>
      <c r="H32" s="117"/>
      <c r="I32" s="375">
        <f>IF(I31=0,"",I31/I28)</f>
        <v>15.5</v>
      </c>
      <c r="J32" s="375"/>
    </row>
    <row r="33" spans="2:11" ht="15.75" customHeight="1" x14ac:dyDescent="0.3">
      <c r="B33" s="1" t="s">
        <v>41</v>
      </c>
      <c r="C33" s="369"/>
      <c r="D33" s="370"/>
      <c r="E33" s="364">
        <f>IF(E32="-","-",E32*$I$5/1000000)</f>
        <v>122654.65564500001</v>
      </c>
      <c r="F33" s="371"/>
      <c r="G33" s="118"/>
      <c r="H33" s="118"/>
      <c r="I33" s="364">
        <f>IF(I32="","",I32*$I$5/1000000)</f>
        <v>122654.65564500001</v>
      </c>
      <c r="J33" s="364"/>
    </row>
    <row r="34" spans="2:11" ht="15.75" customHeight="1" x14ac:dyDescent="0.3"/>
    <row r="35" spans="2:11" ht="15.75" customHeight="1" x14ac:dyDescent="0.3">
      <c r="B35" s="146" t="s">
        <v>319</v>
      </c>
      <c r="C35" s="434">
        <v>15</v>
      </c>
      <c r="D35" s="435"/>
      <c r="G35" s="437" t="s">
        <v>321</v>
      </c>
      <c r="H35" s="438"/>
      <c r="I35" s="434">
        <f ca="1">F14</f>
        <v>27.059421720758852</v>
      </c>
      <c r="J35" s="435"/>
    </row>
    <row r="36" spans="2:11" ht="15.75" customHeight="1" x14ac:dyDescent="0.3">
      <c r="B36" s="146" t="s">
        <v>320</v>
      </c>
      <c r="C36" s="377">
        <f>E28</f>
        <v>4000</v>
      </c>
      <c r="D36" s="436"/>
      <c r="G36" s="439" t="s">
        <v>331</v>
      </c>
      <c r="H36" s="439"/>
      <c r="I36" s="440">
        <f>IF(C26="",0,I35/C29-1)</f>
        <v>0</v>
      </c>
      <c r="J36" s="441"/>
    </row>
    <row r="37" spans="2:11" ht="15.75" customHeight="1" x14ac:dyDescent="0.3"/>
    <row r="38" spans="2:11" ht="15.75" customHeight="1" x14ac:dyDescent="0.3">
      <c r="B38" s="21" t="s">
        <v>332</v>
      </c>
      <c r="G38" s="347" t="s">
        <v>136</v>
      </c>
      <c r="H38" s="133"/>
      <c r="I38" s="133"/>
      <c r="J38" s="133"/>
      <c r="K38" s="357"/>
    </row>
    <row r="39" spans="2:11" ht="15.75" customHeight="1" x14ac:dyDescent="0.3">
      <c r="B39" s="3" t="s">
        <v>335</v>
      </c>
      <c r="F39" s="214">
        <f>'Qualitative Analysis'!E8</f>
        <v>0.6</v>
      </c>
      <c r="G39" s="461"/>
      <c r="H39" s="459"/>
      <c r="I39" s="459"/>
      <c r="J39" s="459"/>
    </row>
    <row r="40" spans="2:11" ht="15.75" customHeight="1" x14ac:dyDescent="0.3">
      <c r="B40" s="3" t="s">
        <v>334</v>
      </c>
      <c r="F40" s="214">
        <f>80%-(5%*IF(LEFT(D20,2)="St",1,IF(LEFT(D20,2)="Sl",2,IF(LEFT(D20,2)="Cy",3,IF(LEFT(D20,2)="Fa",4,IF(LEFT(D20,2)="Tu",5,0))))))</f>
        <v>0.60000000000000009</v>
      </c>
      <c r="G40" s="460"/>
      <c r="H40" s="460"/>
      <c r="I40" s="460"/>
      <c r="J40" s="460"/>
    </row>
    <row r="41" spans="2:11" ht="15.75" customHeight="1" x14ac:dyDescent="0.3">
      <c r="B41" s="3" t="s">
        <v>344</v>
      </c>
      <c r="E41" s="359"/>
      <c r="F41" s="362">
        <f>'Qualitative Analysis'!E64</f>
        <v>0.62807823129251705</v>
      </c>
      <c r="G41" s="461" t="s">
        <v>333</v>
      </c>
      <c r="H41" s="459"/>
      <c r="I41" s="459"/>
      <c r="J41" s="459"/>
    </row>
    <row r="42" spans="2:11" ht="15.75" customHeight="1" x14ac:dyDescent="0.3">
      <c r="B42" s="3" t="s">
        <v>337</v>
      </c>
      <c r="E42" s="359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460" t="s">
        <v>336</v>
      </c>
      <c r="H42" s="460"/>
      <c r="I42" s="460"/>
      <c r="J42" s="460"/>
    </row>
    <row r="43" spans="2:11" ht="15.75" customHeight="1" x14ac:dyDescent="0.3">
      <c r="B43" s="3" t="s">
        <v>338</v>
      </c>
      <c r="F43" s="462">
        <f>AVERAGE(80%*0.5,0.6)</f>
        <v>0.5</v>
      </c>
      <c r="G43" s="459"/>
      <c r="H43" s="459"/>
      <c r="I43" s="459"/>
      <c r="J43" s="459"/>
    </row>
    <row r="44" spans="2:11" ht="15.75" customHeight="1" x14ac:dyDescent="0.3"/>
    <row r="45" spans="2:11" ht="15.75" customHeight="1" x14ac:dyDescent="0.3">
      <c r="B45" s="3" t="s">
        <v>339</v>
      </c>
      <c r="F45" s="362">
        <f ca="1">I35/C29-1</f>
        <v>0.63996495277326382</v>
      </c>
    </row>
    <row r="46" spans="2:11" ht="15.75" customHeight="1" x14ac:dyDescent="0.3">
      <c r="B46" s="3" t="s">
        <v>340</v>
      </c>
      <c r="F46" s="362">
        <f ca="1">D14/C29-1</f>
        <v>-0.5622787461175982</v>
      </c>
    </row>
    <row r="47" spans="2:11" ht="15.75" customHeight="1" x14ac:dyDescent="0.3"/>
    <row r="48" spans="2:11" ht="15.75" customHeight="1" x14ac:dyDescent="0.3">
      <c r="B48" s="3" t="s">
        <v>343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341</v>
      </c>
      <c r="E49" s="458">
        <f ca="1">F45/ABS(F46)</f>
        <v>1.1381631569609745</v>
      </c>
      <c r="F49" s="361">
        <f ca="1">IF(F46&gt;=0,100,F45/ABS(F46))</f>
        <v>1.1381631569609745</v>
      </c>
      <c r="G49" s="74"/>
    </row>
    <row r="50" spans="2:8" ht="15.75" customHeight="1" x14ac:dyDescent="0.3">
      <c r="B50" s="3" t="s">
        <v>342</v>
      </c>
      <c r="E50" s="107">
        <f ca="1">MAX(F48-ABS((1-F48)/F49),0)/2</f>
        <v>0.18591132955695014</v>
      </c>
      <c r="F50" s="360">
        <f ca="1">MIN(E50,H50)</f>
        <v>0.18591132955695014</v>
      </c>
      <c r="G50" s="363" t="s">
        <v>345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8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7" priority="18" operator="lessThan">
      <formula>0</formula>
    </cfRule>
  </conditionalFormatting>
  <conditionalFormatting sqref="E26:H26">
    <cfRule type="containsBlanks" dxfId="16" priority="6">
      <formula>LEN(TRIM(E26))=0</formula>
    </cfRule>
  </conditionalFormatting>
  <conditionalFormatting sqref="H14">
    <cfRule type="cellIs" dxfId="14" priority="10" operator="greaterThan">
      <formula>$B$16</formula>
    </cfRule>
  </conditionalFormatting>
  <conditionalFormatting sqref="H16">
    <cfRule type="cellIs" dxfId="13" priority="13" operator="greaterThan">
      <formula>$B$16</formula>
    </cfRule>
  </conditionalFormatting>
  <conditionalFormatting sqref="I16">
    <cfRule type="cellIs" dxfId="12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conditionalFormatting sqref="F49">
    <cfRule type="cellIs" dxfId="0" priority="1" operator="lessThan">
      <formula>1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8" sqref="C18:E1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322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MAX(((D6+MIN('FCFF Model'!D4,0))*Exchange_Rate*Data!C4)/Dashboard!I5, 0)</f>
        <v>1.3583050519827629</v>
      </c>
      <c r="E7" s="49" t="str">
        <f>Dashboard!J4</f>
        <v>HKD</v>
      </c>
      <c r="H7" s="3" t="s">
        <v>323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324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325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329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326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330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327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2">
        <f>D53+D54+D55</f>
        <v>8694432</v>
      </c>
      <c r="E52" s="443"/>
      <c r="F52" s="53"/>
      <c r="G52" s="53"/>
    </row>
    <row r="53" spans="2:9" ht="14.5" thickTop="1" x14ac:dyDescent="0.3">
      <c r="B53" s="58" t="s">
        <v>231</v>
      </c>
      <c r="C53" s="6"/>
      <c r="D53" s="445">
        <f>SUM(I11:I13)+SUM(I28:I30)</f>
        <v>8694432</v>
      </c>
      <c r="E53" s="373"/>
      <c r="F53" s="5"/>
      <c r="G53" s="5"/>
      <c r="H53" s="3" t="s">
        <v>328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50">
        <v>0</v>
      </c>
      <c r="E54" s="37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0">
        <v>0</v>
      </c>
      <c r="E55" s="37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4"/>
      <c r="E57" s="444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8">
        <f>((Dashboard!I6*Data!C4)+D52+E50-C58-C59)</f>
        <v>128260855.23500001</v>
      </c>
      <c r="E60" s="449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262</v>
      </c>
      <c r="D64" s="446">
        <v>6.3399999999999998E-2</v>
      </c>
      <c r="E64" s="447"/>
      <c r="F64" s="266" t="s">
        <v>247</v>
      </c>
    </row>
    <row r="65" spans="2:5" ht="15" customHeight="1" x14ac:dyDescent="0.3">
      <c r="B65" s="292" t="s">
        <v>264</v>
      </c>
      <c r="D65" s="446">
        <f>D63</f>
        <v>-0.64687443506582265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306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307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7" priority="2">
      <formula>LEN(TRIM(E16))=0</formula>
    </cfRule>
  </conditionalFormatting>
  <conditionalFormatting sqref="G18 I18">
    <cfRule type="containsBlanks" dxfId="6" priority="4">
      <formula>LEN(TRIM(G18))=0</formula>
    </cfRule>
  </conditionalFormatting>
  <conditionalFormatting sqref="G7:H11 G13:H15 H12">
    <cfRule type="containsBlanks" dxfId="5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4" priority="1">
      <formula>LEN(TRIM(G7))=0</formula>
    </cfRule>
  </conditionalFormatting>
  <conditionalFormatting sqref="I7:J15">
    <cfRule type="containsBlanks" dxfId="3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3" zoomScaleNormal="100" zoomScalePageLayoutView="80" workbookViewId="0">
      <selection activeCell="E30" sqref="E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(G18+MIN(D4,0))*Data!C$4/Dashboard!I5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53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53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7" t="s">
        <v>226</v>
      </c>
      <c r="F23" s="457"/>
      <c r="G23" s="457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54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5"/>
      <c r="G26" s="352">
        <f ca="1">$F$25+E26+$G$19</f>
        <v>3.447397142838577</v>
      </c>
      <c r="I26" s="74" t="s">
        <v>310</v>
      </c>
    </row>
    <row r="27" spans="1:9" ht="15.75" customHeight="1" x14ac:dyDescent="0.3">
      <c r="B27" s="302" t="s">
        <v>308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6"/>
      <c r="G27" s="207">
        <f ca="1">$F$25+E27+$G$19</f>
        <v>4.2590751724828584</v>
      </c>
      <c r="I27" s="74" t="s">
        <v>309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84">
        <f>Asset_Model!D7+IF(D8&lt;0,D8,0)</f>
        <v>1.3583050519827629</v>
      </c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1" t="s">
        <v>148</v>
      </c>
      <c r="D32" s="452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37.573776809160464</v>
      </c>
      <c r="D34" s="208" t="str">
        <f>D33</f>
        <v>HKD</v>
      </c>
      <c r="E34" s="120">
        <f ca="1">(C34-G19)/C9</f>
        <v>836.7643349081975</v>
      </c>
      <c r="F34" s="158">
        <f ca="1">C34/(Data!C28*Exchange_Rate*Data!C4/Common_Shares)</f>
        <v>1.4891024990025841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B64" sqref="B6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311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313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314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315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316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2023-03-22T11:37:39Z</dcterms:modified>
  <cp:category/>
  <cp:contentStatus/>
</cp:coreProperties>
</file>