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A5EF84F8-BF19-4BA5-9C09-2CD6AF1A6FE5}" xr6:coauthVersionLast="47" xr6:coauthVersionMax="47" xr10:uidLastSave="{00000000-0000-0000-0000-000000000000}"/>
  <bookViews>
    <workbookView xWindow="1520" yWindow="1520" windowWidth="14400" windowHeight="736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0" i="1"/>
  <c r="E26" i="1"/>
  <c r="C12" i="1"/>
  <c r="C35" i="1"/>
  <c r="B18" i="1" s="1"/>
  <c r="C36" i="1"/>
  <c r="E7" i="3"/>
  <c r="E6" i="1"/>
  <c r="E16" i="1" l="1"/>
  <c r="C11" i="4" l="1"/>
  <c r="C14" i="7"/>
  <c r="E14" i="7" s="1"/>
  <c r="C8" i="7"/>
  <c r="E7" i="7"/>
  <c r="G7" i="7" s="1"/>
  <c r="E6" i="7"/>
  <c r="G6" i="7" s="1"/>
  <c r="E5" i="7"/>
  <c r="G5" i="7" s="1"/>
  <c r="E4" i="7"/>
  <c r="E8" i="7" s="1"/>
  <c r="G4" i="7" l="1"/>
  <c r="G8" i="7"/>
  <c r="E13" i="7"/>
  <c r="D12" i="4"/>
  <c r="G34" i="4"/>
  <c r="D7" i="7" l="1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 l="1"/>
  <c r="F4" i="7"/>
  <c r="F6" i="7"/>
  <c r="F7" i="7"/>
  <c r="G16" i="3"/>
  <c r="I10" i="7" l="1"/>
  <c r="H7" i="7"/>
  <c r="H5" i="7"/>
  <c r="H6" i="7"/>
  <c r="H4" i="7"/>
  <c r="G14" i="7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2" i="7" l="1"/>
  <c r="I17" i="7" l="1"/>
  <c r="I15" i="7" s="1"/>
  <c r="I4" i="3"/>
  <c r="D4" i="3"/>
  <c r="D6" i="1"/>
  <c r="E9" i="3"/>
  <c r="C3" i="7" l="1"/>
  <c r="C29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E16" i="7"/>
  <c r="C44" i="3"/>
  <c r="C25" i="3"/>
  <c r="I7" i="3" s="1"/>
  <c r="I16" i="7" l="1"/>
  <c r="I3" i="7" s="1"/>
  <c r="F3" i="4" s="1"/>
  <c r="G4" i="4" s="1"/>
  <c r="B24" i="4" s="1"/>
  <c r="G2" i="4" s="1"/>
  <c r="G15" i="7"/>
  <c r="G16" i="7"/>
  <c r="D4" i="4"/>
  <c r="E19" i="7"/>
  <c r="E15" i="7"/>
  <c r="G18" i="7"/>
  <c r="I18" i="7" s="1"/>
  <c r="I20" i="7" s="1"/>
  <c r="F4" i="4" s="1"/>
  <c r="C45" i="3"/>
  <c r="E12" i="3"/>
  <c r="G20" i="7" l="1"/>
  <c r="E4" i="4" s="1"/>
  <c r="E7" i="4" s="1"/>
  <c r="E8" i="4" s="1"/>
  <c r="D7" i="4"/>
  <c r="D8" i="4" s="1"/>
  <c r="D9" i="4" s="1"/>
  <c r="D10" i="4" s="1"/>
  <c r="D5" i="4"/>
  <c r="F8" i="4"/>
  <c r="F9" i="4" s="1"/>
  <c r="F15" i="4" s="1"/>
  <c r="F5" i="4"/>
  <c r="E5" i="4"/>
  <c r="D53" i="5"/>
  <c r="I19" i="7" l="1"/>
  <c r="G19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6" i="5"/>
  <c r="E6" i="5" s="1"/>
  <c r="D36" i="5"/>
  <c r="D33" i="2"/>
  <c r="D34" i="2" s="1"/>
  <c r="C33" i="2"/>
  <c r="C34" i="2" s="1"/>
  <c r="C35" i="2" s="1"/>
  <c r="E33" i="2"/>
  <c r="E34" i="2" s="1"/>
  <c r="D55" i="5"/>
  <c r="E55" i="5" s="1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C70" i="2" l="1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8" i="5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D50" i="3" s="1"/>
  <c r="J44" i="3"/>
  <c r="D18" i="5"/>
  <c r="D57" i="2"/>
  <c r="E57" i="2" s="1"/>
  <c r="F57" i="2"/>
  <c r="B58" i="2"/>
  <c r="C21" i="4" l="1"/>
  <c r="D60" i="3"/>
  <c r="D58" i="2"/>
  <c r="E58" i="2" s="1"/>
  <c r="F58" i="2"/>
  <c r="B59" i="2"/>
  <c r="D21" i="4" l="1"/>
  <c r="G21" i="4" s="1"/>
  <c r="G18" i="4"/>
  <c r="G19" i="4" s="1"/>
  <c r="D49" i="3"/>
  <c r="D6" i="3"/>
  <c r="D7" i="3" s="1"/>
  <c r="D59" i="2"/>
  <c r="E59" i="2" s="1"/>
  <c r="B60" i="2"/>
  <c r="F59" i="2"/>
  <c r="H16" i="1" l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4" i="4" s="1"/>
  <c r="I35" i="1" s="1"/>
  <c r="E25" i="4"/>
  <c r="G25" i="4" s="1"/>
  <c r="E26" i="4"/>
  <c r="G26" i="4" s="1"/>
  <c r="E30" i="4" s="1"/>
  <c r="I36" i="1" l="1"/>
  <c r="F45" i="1"/>
  <c r="G15" i="4"/>
  <c r="F42" i="1" l="1"/>
  <c r="E42" i="1" s="1"/>
  <c r="F48" i="1" s="1"/>
  <c r="F34" i="4"/>
  <c r="E34" i="4" l="1"/>
  <c r="C11" i="1"/>
  <c r="D12" i="5"/>
  <c r="D5" i="5" l="1"/>
  <c r="E5" i="5" s="1"/>
  <c r="E64" i="5"/>
  <c r="D64" i="5" l="1"/>
  <c r="E7" i="5" l="1"/>
  <c r="D7" i="5" s="1"/>
  <c r="D8" i="5" s="1"/>
  <c r="E8" i="5" s="1"/>
  <c r="C30" i="4" l="1"/>
  <c r="D30" i="4" s="1"/>
  <c r="D14" i="1" l="1"/>
  <c r="F46" i="1" s="1"/>
  <c r="F14" i="1"/>
  <c r="C33" i="4"/>
  <c r="F49" i="1" l="1"/>
  <c r="E50" i="1" s="1"/>
  <c r="F50" i="1" s="1"/>
  <c r="E49" i="1"/>
  <c r="H14" i="1"/>
  <c r="F33" i="4"/>
  <c r="E33" i="4"/>
  <c r="J25" i="1" l="1"/>
  <c r="D18" i="1"/>
  <c r="B17" i="1"/>
  <c r="D16" i="1"/>
  <c r="D17" i="1" l="1"/>
  <c r="J17" i="1"/>
  <c r="F17" i="1"/>
</calcChain>
</file>

<file path=xl/sharedStrings.xml><?xml version="1.0" encoding="utf-8"?>
<sst xmlns="http://schemas.openxmlformats.org/spreadsheetml/2006/main" count="436" uniqueCount="370">
  <si>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</si>
  <si>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</si>
  <si>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</si>
  <si>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</si>
  <si>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</si>
  <si>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</si>
  <si>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</si>
  <si>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</si>
  <si>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</si>
  <si>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</si>
  <si>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</si>
  <si>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</si>
  <si>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</si>
  <si>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</si>
  <si>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</si>
  <si>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</si>
  <si>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</si>
  <si>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</si>
  <si>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</si>
  <si>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</si>
  <si>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</si>
  <si>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</si>
  <si>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</si>
  <si>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</si>
  <si>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</si>
  <si>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</si>
  <si>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</si>
  <si>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</si>
  <si>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</si>
  <si>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</si>
  <si>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</si>
  <si>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</si>
  <si>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</si>
  <si>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</si>
  <si>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</si>
  <si>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</si>
  <si>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</si>
  <si>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</si>
  <si>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</si>
  <si>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</si>
  <si>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</si>
  <si>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</si>
  <si>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</si>
  <si>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</si>
  <si>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</si>
  <si>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</si>
  <si>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</si>
  <si>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</si>
  <si>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</si>
  <si>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</si>
  <si>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</si>
  <si>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</si>
  <si>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</si>
  <si>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</si>
  <si>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</si>
  <si>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</si>
  <si>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</si>
  <si>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</si>
  <si>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</si>
  <si>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</si>
  <si>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</si>
  <si>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</si>
  <si>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</si>
  <si>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</si>
  <si>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</si>
  <si>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</si>
  <si>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</si>
  <si>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</si>
  <si>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</si>
  <si>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</si>
  <si>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</si>
  <si>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</si>
  <si>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</si>
  <si>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</si>
  <si>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</si>
  <si>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</si>
  <si>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</si>
  <si>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</si>
  <si>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</si>
  <si>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</si>
  <si>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</si>
  <si>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</si>
  <si>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</si>
  <si>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</si>
  <si>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</si>
  <si>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</si>
  <si>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</si>
  <si>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</si>
  <si>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</si>
  <si>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</si>
  <si>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</si>
  <si>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</si>
  <si>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</si>
  <si>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</si>
  <si>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</si>
  <si>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</si>
  <si>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</si>
  <si>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</si>
  <si>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</si>
  <si>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</si>
  <si>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</si>
  <si>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</si>
  <si>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</si>
  <si>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</si>
  <si>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</si>
  <si>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</si>
  <si>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</si>
  <si>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</si>
  <si>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</si>
  <si>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</si>
  <si>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</si>
  <si>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</si>
  <si>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</si>
  <si>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</si>
  <si>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</si>
  <si>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</si>
  <si>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</si>
  <si>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</si>
  <si>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</si>
  <si>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</si>
  <si>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</si>
  <si>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</si>
  <si>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</si>
  <si>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</si>
  <si>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</si>
  <si>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</si>
  <si>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</si>
  <si>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</si>
  <si>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</si>
  <si>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</si>
  <si>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</si>
  <si>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</si>
  <si>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</si>
  <si>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</si>
  <si>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</si>
  <si>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</si>
  <si>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</si>
  <si>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</si>
  <si>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</si>
  <si>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</si>
  <si>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</si>
  <si>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</si>
  <si>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</si>
  <si>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</si>
  <si>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</si>
  <si>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</si>
  <si>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</si>
  <si>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</si>
  <si>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</si>
  <si>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</si>
  <si>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</si>
  <si>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</si>
  <si>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</si>
  <si>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</si>
  <si>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</si>
  <si>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</si>
  <si>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</si>
  <si>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</si>
  <si>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</si>
  <si>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</si>
  <si>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</si>
  <si>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</si>
  <si>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</si>
  <si>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</si>
  <si>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</si>
  <si>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</si>
  <si>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</si>
  <si>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</si>
  <si>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</si>
  <si>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</si>
  <si>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</si>
  <si>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</si>
  <si>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</si>
  <si>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</si>
  <si>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</si>
  <si>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</si>
  <si>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</si>
  <si>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</si>
  <si>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</si>
  <si>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</si>
  <si>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</si>
  <si>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</si>
  <si>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</si>
  <si>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</si>
  <si>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</si>
  <si>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</si>
  <si>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</si>
  <si>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</si>
  <si>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</si>
  <si>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</si>
  <si>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</si>
  <si>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</si>
  <si>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</si>
  <si>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</si>
  <si>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</si>
  <si>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</si>
  <si>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</si>
  <si>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</si>
  <si>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</si>
  <si>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</si>
  <si>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</si>
  <si>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</si>
  <si>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</si>
  <si>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</si>
  <si>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</si>
  <si>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</si>
  <si>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</si>
  <si>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</si>
  <si>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</si>
  <si>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</si>
  <si>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</si>
  <si>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</si>
  <si>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</si>
  <si>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</si>
  <si>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</si>
  <si>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</si>
  <si>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</si>
  <si>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</si>
  <si>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</si>
  <si>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</si>
  <si>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</si>
  <si>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</si>
  <si>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</si>
  <si>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</si>
  <si>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</si>
  <si>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</si>
  <si>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</si>
  <si>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</si>
  <si>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</si>
  <si>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</si>
  <si>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</si>
  <si>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</si>
  <si>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</si>
  <si>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</si>
  <si>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</si>
  <si>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</si>
  <si>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</si>
  <si>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</si>
  <si>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</si>
  <si>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</si>
  <si>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</si>
  <si>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</si>
  <si>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</si>
  <si>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</si>
  <si>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</si>
  <si>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</si>
  <si>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</si>
  <si>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</si>
  <si>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</si>
  <si>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</si>
  <si>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</si>
  <si>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</si>
  <si>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</si>
  <si>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</si>
  <si>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</si>
  <si>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</si>
  <si>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</si>
  <si>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</si>
  <si>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</si>
  <si>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</si>
  <si>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</si>
  <si>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</si>
  <si>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</si>
  <si>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</si>
  <si>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</si>
  <si>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</si>
  <si>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</si>
  <si>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</si>
  <si>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</si>
  <si>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</si>
  <si>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</si>
  <si>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</si>
  <si>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</si>
  <si>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</si>
  <si>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</si>
  <si>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</si>
  <si>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</si>
  <si>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</si>
  <si>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</si>
  <si>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</si>
  <si>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</si>
  <si>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</si>
  <si>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</si>
  <si>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</si>
  <si>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</si>
  <si>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</si>
  <si>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</si>
  <si>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</si>
  <si>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</si>
  <si>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</si>
  <si>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</si>
  <si>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</si>
  <si>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</si>
  <si>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</si>
  <si>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</si>
  <si>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</si>
  <si>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</si>
  <si>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</si>
  <si>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</si>
  <si>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</si>
  <si>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</si>
  <si>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</si>
  <si>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</si>
  <si>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</si>
  <si>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</si>
  <si>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</si>
  <si>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</si>
  <si>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</si>
  <si>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</si>
  <si>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</si>
  <si>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</si>
  <si>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</si>
  <si>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</si>
  <si>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</si>
  <si>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</si>
  <si>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</si>
  <si>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</si>
  <si>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</si>
  <si>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</si>
  <si>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</si>
  <si>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</si>
  <si>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</si>
  <si>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</si>
  <si>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</si>
  <si>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</si>
  <si>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</si>
  <si>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</si>
  <si>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</si>
  <si>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</si>
  <si>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</si>
  <si>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</si>
  <si>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</si>
  <si>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</si>
  <si>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</si>
  <si>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</si>
  <si>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</si>
  <si>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</si>
  <si>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</si>
  <si>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</si>
  <si>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</si>
  <si>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</si>
  <si>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</si>
  <si>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</si>
  <si>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</si>
  <si>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</si>
  <si>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</si>
  <si>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</si>
  <si>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</si>
  <si>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</si>
  <si>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</si>
  <si>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</si>
  <si>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</si>
  <si>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</si>
  <si>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</si>
  <si>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</si>
  <si>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</si>
  <si>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</si>
  <si>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</si>
  <si>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</si>
  <si>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</si>
  <si>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</si>
  <si>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4. The probability of a recession affecting the company</t>
  </si>
  <si>
    <t>60% chance of chinese recession</t>
  </si>
  <si>
    <t>5. Is the upside very attractive?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</si>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</sst>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4" fontId="2" fillId="10" borderId="9" xfId="0" applyNumberFormat="1" applyFont="1" applyFill="1" applyBorder="1" applyAlignment="1">
      <alignment horizontal="center"/>
    </xf>
    <xf numFmtId="0" fontId="15" fillId="0" borderId="11" xfId="0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10" borderId="42" xfId="0" applyNumberFormat="1" applyFont="1" applyFill="1" applyBorder="1" applyAlignment="1">
      <alignment horizontal="center"/>
    </xf>
    <xf numFmtId="186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0" fontId="7" fillId="10" borderId="13" xfId="0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4" borderId="2" xfId="0" applyFont="1" applyFill="1" applyBorder="1"/>
    <xf numFmtId="0" fontId="7" fillId="14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4" borderId="9" xfId="0" applyFont="1" applyFill="1" applyBorder="1"/>
    <xf numFmtId="0" fontId="7" fillId="14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22" zoomScaleNormal="100" workbookViewId="0">
      <selection activeCell="G30" sqref="G30:H3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7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12" t="s">
        <v>303</v>
      </c>
      <c r="D3" s="413"/>
      <c r="E3" s="15"/>
      <c r="G3" s="7" t="s">
        <v>2</v>
      </c>
      <c r="I3" s="424" t="s">
        <v>3</v>
      </c>
      <c r="J3" s="425"/>
    </row>
    <row r="4" spans="1:12" ht="15.75" customHeight="1" x14ac:dyDescent="0.3">
      <c r="B4" s="5" t="s">
        <v>4</v>
      </c>
      <c r="C4" s="414" t="s">
        <v>304</v>
      </c>
      <c r="D4" s="415"/>
      <c r="E4" s="6"/>
      <c r="G4" s="5" t="s">
        <v>5</v>
      </c>
      <c r="I4" s="32">
        <v>10.56</v>
      </c>
      <c r="J4" s="33" t="s">
        <v>6</v>
      </c>
      <c r="K4" s="172"/>
    </row>
    <row r="5" spans="1:12" ht="15.75" customHeight="1" x14ac:dyDescent="0.3">
      <c r="B5" s="5" t="s">
        <v>7</v>
      </c>
      <c r="C5" s="416">
        <v>44956</v>
      </c>
      <c r="D5" s="415"/>
      <c r="E5" s="142" t="str">
        <f ca="1">IF(C5+30&gt;=TODAY(),"Patience Premium","")</f>
        <v/>
      </c>
      <c r="G5" s="5" t="s">
        <v>8</v>
      </c>
      <c r="I5" s="407">
        <v>8061262157</v>
      </c>
      <c r="J5" s="408"/>
      <c r="K5" s="171"/>
      <c r="L5" s="106"/>
    </row>
    <row r="6" spans="1:12" ht="15.75" customHeight="1" x14ac:dyDescent="0.3">
      <c r="B6" s="12" t="s">
        <v>281</v>
      </c>
      <c r="C6" s="290">
        <v>8</v>
      </c>
      <c r="D6" s="291">
        <f>EOMONTH(EDATE(Asset_Model!D9,C6),0)</f>
        <v>45169</v>
      </c>
      <c r="E6" s="363">
        <f>Data!C3</f>
        <v>44742</v>
      </c>
      <c r="G6" s="154" t="s">
        <v>9</v>
      </c>
      <c r="H6" s="153"/>
      <c r="I6" s="426">
        <f>I4*I5/1000000</f>
        <v>85126.928377920005</v>
      </c>
      <c r="J6" s="427"/>
      <c r="K6" s="171"/>
    </row>
    <row r="7" spans="1:12" ht="15.75" customHeight="1" x14ac:dyDescent="0.3">
      <c r="B7" s="159" t="s">
        <v>10</v>
      </c>
      <c r="C7" s="165">
        <f>(Data!C39)/I4</f>
        <v>3.5872162407213755E-2</v>
      </c>
      <c r="D7" s="165">
        <f>(Data!C40)/I4</f>
        <v>0</v>
      </c>
      <c r="E7" s="173"/>
      <c r="F7" s="6"/>
    </row>
    <row r="8" spans="1:12" ht="15.75" customHeight="1" x14ac:dyDescent="0.3">
      <c r="C8" s="117"/>
      <c r="E8" s="6"/>
      <c r="G8" s="21" t="s">
        <v>11</v>
      </c>
      <c r="H8" s="152"/>
      <c r="I8" s="6"/>
      <c r="J8" s="6"/>
    </row>
    <row r="9" spans="1:12" ht="15.75" customHeight="1" x14ac:dyDescent="0.3">
      <c r="B9" s="21" t="s">
        <v>12</v>
      </c>
      <c r="C9" s="320"/>
      <c r="D9" s="318"/>
      <c r="E9" s="5"/>
      <c r="G9" s="5" t="s">
        <v>13</v>
      </c>
      <c r="I9" s="141">
        <f>IF(Data!F3&lt;=0,"NNI",I4/((Data!F3*I12)/(I5/Data!C4)))</f>
        <v>14.842380260738754</v>
      </c>
      <c r="J9" s="48">
        <f>IF(I9="NNI","NNI",1/I9)</f>
        <v>6.7374638193660366E-2</v>
      </c>
    </row>
    <row r="10" spans="1:12" ht="15.75" customHeight="1" x14ac:dyDescent="0.3">
      <c r="B10" s="3" t="s">
        <v>298</v>
      </c>
      <c r="C10" s="319" t="s">
        <v>346</v>
      </c>
      <c r="D10" s="319">
        <v>3.8159999999999999E-2</v>
      </c>
      <c r="E10" s="5"/>
      <c r="G10" s="5" t="s">
        <v>14</v>
      </c>
      <c r="I10" s="158">
        <f>I4/(Data!C28*I12*Data!C4/Common_Shares)</f>
        <v>0.53799991978639261</v>
      </c>
      <c r="J10" s="150">
        <f>IF(Asset_Model!D60/'FCFF Model'!C4&lt;0,"Negative EV",Asset_Model!D60/'FCFF Model'!C4)</f>
        <v>4.5216610142907312</v>
      </c>
    </row>
    <row r="11" spans="1:12" ht="15.75" customHeight="1" thickBot="1" x14ac:dyDescent="0.35">
      <c r="B11" s="332" t="s">
        <v>299</v>
      </c>
      <c r="C11" s="438">
        <f ca="1">C12-D10</f>
        <v>4.1840000000000002E-2</v>
      </c>
      <c r="D11" s="439"/>
      <c r="E11" s="13"/>
      <c r="G11" s="5" t="s">
        <v>15</v>
      </c>
      <c r="H11" s="6"/>
      <c r="I11" s="436" t="s">
        <v>6</v>
      </c>
      <c r="J11" s="437"/>
    </row>
    <row r="12" spans="1:12" ht="15.75" customHeight="1" thickTop="1" x14ac:dyDescent="0.3">
      <c r="B12" s="333" t="s">
        <v>174</v>
      </c>
      <c r="C12" s="440">
        <f ca="1">IF(C10="US",6%,8%)*IF($C$5+30&gt;=TODAY(),1.2,1)</f>
        <v>0.08</v>
      </c>
      <c r="D12" s="441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7" t="s">
        <v>242</v>
      </c>
      <c r="D14" s="204">
        <f ca="1">MIN('FCFF Model'!C30,'FCFF Model'!E30)</f>
        <v>10.429776905912007</v>
      </c>
      <c r="E14" s="147" t="s">
        <v>259</v>
      </c>
      <c r="F14" s="204">
        <f ca="1">MAX('FCFF Model'!C30,'FCFF Model'!E30)</f>
        <v>11.339169963600042</v>
      </c>
      <c r="G14" s="205" t="s">
        <v>24</v>
      </c>
      <c r="H14" s="213">
        <f ca="1">IF('FCFF Model'!C33&lt;0, "Error", 'FCFF Model'!C33)</f>
        <v>10.945223365548518</v>
      </c>
      <c r="I14" s="153"/>
      <c r="J14" s="153"/>
    </row>
    <row r="15" spans="1:12" ht="15.75" customHeight="1" x14ac:dyDescent="0.3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 x14ac:dyDescent="0.3">
      <c r="B16" s="151">
        <f>I4</f>
        <v>10.56</v>
      </c>
      <c r="C16" s="447">
        <v>0.1</v>
      </c>
      <c r="D16" s="179">
        <f ca="1">H14/B16-1-C16</f>
        <v>-6.352051462608746E-2</v>
      </c>
      <c r="E16" s="444">
        <f>'FCFF Model'!D11*Exchange_Rate</f>
        <v>0.56000000000000005</v>
      </c>
      <c r="F16" s="181">
        <f>E16/B16</f>
        <v>5.3030303030303032E-2</v>
      </c>
      <c r="G16" s="431" t="s">
        <v>25</v>
      </c>
      <c r="H16" s="428">
        <f>('FCFF Model'!G19)*Exchange_Rate</f>
        <v>5.9834442351159485</v>
      </c>
      <c r="I16" s="431" t="s">
        <v>26</v>
      </c>
      <c r="J16" s="226">
        <f>B16-$H$16</f>
        <v>4.576555764884052</v>
      </c>
    </row>
    <row r="17" spans="1:10" ht="15.75" customHeight="1" x14ac:dyDescent="0.3">
      <c r="B17" s="310">
        <f ca="1">H14/(1+C16)</f>
        <v>9.9502030595895619</v>
      </c>
      <c r="C17" s="448"/>
      <c r="D17" s="309">
        <f ca="1">H14/B17-1-C16</f>
        <v>0</v>
      </c>
      <c r="E17" s="445"/>
      <c r="F17" s="182">
        <f ca="1">E16/B17</f>
        <v>5.6280258467720119E-2</v>
      </c>
      <c r="G17" s="432"/>
      <c r="H17" s="429"/>
      <c r="I17" s="432"/>
      <c r="J17" s="225">
        <f ca="1">B17-$H$16</f>
        <v>3.9667588244736134</v>
      </c>
    </row>
    <row r="18" spans="1:10" ht="15.75" customHeight="1" x14ac:dyDescent="0.3">
      <c r="B18" s="365">
        <f>C35</f>
        <v>9.9</v>
      </c>
      <c r="C18" s="449"/>
      <c r="D18" s="180">
        <f ca="1">H14/B18-1-C16</f>
        <v>5.5781177321735098E-3</v>
      </c>
      <c r="E18" s="446"/>
      <c r="F18" s="183">
        <f>E16/B18</f>
        <v>5.6565656565656569E-2</v>
      </c>
      <c r="G18" s="433"/>
      <c r="H18" s="430"/>
      <c r="I18" s="433"/>
      <c r="J18" s="227">
        <f>B18-$H$16</f>
        <v>3.9165557648840519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279</v>
      </c>
      <c r="D20" s="311" t="s">
        <v>306</v>
      </c>
      <c r="E20" s="286" t="s">
        <v>289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9" t="s">
        <v>305</v>
      </c>
      <c r="D21" s="420"/>
      <c r="E21" s="420"/>
      <c r="F21" s="420"/>
      <c r="G21" s="420"/>
      <c r="H21" s="420"/>
      <c r="I21" s="420"/>
      <c r="J21" s="421"/>
    </row>
    <row r="22" spans="1:10" ht="52.5" customHeight="1" x14ac:dyDescent="0.3">
      <c r="A22" s="6"/>
      <c r="B22" s="24" t="s">
        <v>29</v>
      </c>
      <c r="C22" s="435" t="s">
        <v>307</v>
      </c>
      <c r="D22" s="383"/>
      <c r="E22" s="383"/>
      <c r="F22" s="383"/>
      <c r="G22" s="435" t="s">
        <v>309</v>
      </c>
      <c r="H22" s="435"/>
      <c r="I22" s="383"/>
      <c r="J22" s="383"/>
    </row>
    <row r="23" spans="1:10" ht="52.5" customHeight="1" x14ac:dyDescent="0.3">
      <c r="A23" s="6"/>
      <c r="B23" s="25" t="s">
        <v>30</v>
      </c>
      <c r="C23" s="422" t="s">
        <v>308</v>
      </c>
      <c r="D23" s="423"/>
      <c r="E23" s="423"/>
      <c r="F23" s="423"/>
      <c r="G23" s="422" t="s">
        <v>310</v>
      </c>
      <c r="H23" s="422"/>
      <c r="I23" s="423"/>
      <c r="J23" s="423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4">
        <v>0.15</v>
      </c>
      <c r="I25" s="30" t="s">
        <v>342</v>
      </c>
      <c r="J25" s="366">
        <f ca="1">H14/(H25+C16+1)</f>
        <v>8.7561786924388141</v>
      </c>
    </row>
    <row r="26" spans="1:10" ht="15.75" customHeight="1" x14ac:dyDescent="0.3">
      <c r="B26" s="23" t="s">
        <v>33</v>
      </c>
      <c r="C26" s="417">
        <v>44970</v>
      </c>
      <c r="D26" s="418"/>
      <c r="E26" s="453" t="str">
        <f>IF(C26="","","Action_Planning")</f>
        <v>Action_Planning</v>
      </c>
      <c r="F26" s="454"/>
      <c r="G26" s="454"/>
      <c r="H26" s="455"/>
      <c r="I26" s="434" t="s">
        <v>34</v>
      </c>
      <c r="J26" s="434"/>
    </row>
    <row r="27" spans="1:10" ht="15.75" customHeight="1" x14ac:dyDescent="0.3">
      <c r="B27" s="23" t="s">
        <v>35</v>
      </c>
      <c r="C27" s="443">
        <f>C31/D25</f>
        <v>6.8733333333333327E-2</v>
      </c>
      <c r="D27" s="406"/>
      <c r="E27" s="442">
        <f>E31/D25</f>
        <v>8.2500000000000004E-2</v>
      </c>
      <c r="F27" s="406"/>
      <c r="G27" s="451">
        <f>G31/D25</f>
        <v>0.26666666666666666</v>
      </c>
      <c r="H27" s="452"/>
      <c r="I27" s="450">
        <f>C27+E27+G27</f>
        <v>0.41789999999999999</v>
      </c>
      <c r="J27" s="450"/>
    </row>
    <row r="28" spans="1:10" ht="15.75" customHeight="1" x14ac:dyDescent="0.3">
      <c r="B28" s="23" t="s">
        <v>36</v>
      </c>
      <c r="C28" s="378">
        <v>4000</v>
      </c>
      <c r="D28" s="383"/>
      <c r="E28" s="378">
        <v>5000</v>
      </c>
      <c r="F28" s="383"/>
      <c r="G28" s="407">
        <v>20000</v>
      </c>
      <c r="H28" s="408"/>
      <c r="I28" s="411">
        <f>C28+E28+G28</f>
        <v>29000</v>
      </c>
      <c r="J28" s="411"/>
    </row>
    <row r="29" spans="1:10" ht="15.75" customHeight="1" x14ac:dyDescent="0.3">
      <c r="B29" s="23" t="s">
        <v>37</v>
      </c>
      <c r="C29" s="382">
        <v>10.31</v>
      </c>
      <c r="D29" s="383"/>
      <c r="E29" s="382">
        <v>9.9</v>
      </c>
      <c r="F29" s="383"/>
      <c r="G29" s="384">
        <v>8</v>
      </c>
      <c r="H29" s="385"/>
      <c r="I29" s="409"/>
      <c r="J29" s="409"/>
    </row>
    <row r="30" spans="1:10" ht="15.75" customHeight="1" x14ac:dyDescent="0.3">
      <c r="B30" s="23" t="s">
        <v>38</v>
      </c>
      <c r="C30" s="380">
        <f>C29*$I$5/1000000</f>
        <v>83111.61283867</v>
      </c>
      <c r="D30" s="390"/>
      <c r="E30" s="380">
        <f>E29*$I$5/1000000</f>
        <v>79806.495354300001</v>
      </c>
      <c r="F30" s="390"/>
      <c r="G30" s="393">
        <f>G29*$I$5/1000000</f>
        <v>64490.097256000001</v>
      </c>
      <c r="H30" s="394"/>
      <c r="I30" s="410"/>
      <c r="J30" s="410"/>
    </row>
    <row r="31" spans="1:10" ht="15.75" customHeight="1" x14ac:dyDescent="0.3">
      <c r="B31" s="2" t="s">
        <v>39</v>
      </c>
      <c r="C31" s="402">
        <f>C28*C29</f>
        <v>41240</v>
      </c>
      <c r="D31" s="403"/>
      <c r="E31" s="404">
        <f>E28*E29</f>
        <v>49500</v>
      </c>
      <c r="F31" s="405"/>
      <c r="G31" s="395">
        <f>G28*G29</f>
        <v>160000</v>
      </c>
      <c r="H31" s="396"/>
      <c r="I31" s="404">
        <f>C31+E31+G31</f>
        <v>250740</v>
      </c>
      <c r="J31" s="404"/>
    </row>
    <row r="32" spans="1:10" ht="15.75" customHeight="1" x14ac:dyDescent="0.3">
      <c r="B32" s="1" t="s">
        <v>40</v>
      </c>
      <c r="C32" s="400"/>
      <c r="D32" s="401"/>
      <c r="E32" s="381">
        <f>IF(C31=0,"-",(C31+E31)/(C28+E28))</f>
        <v>10.082222222222223</v>
      </c>
      <c r="F32" s="406"/>
      <c r="G32" s="137"/>
      <c r="H32" s="137"/>
      <c r="I32" s="381">
        <f>IF(I31=0,"",I31/I28)</f>
        <v>8.6462068965517247</v>
      </c>
      <c r="J32" s="381"/>
    </row>
    <row r="33" spans="2:10" ht="15.75" customHeight="1" x14ac:dyDescent="0.3">
      <c r="B33" s="1" t="s">
        <v>41</v>
      </c>
      <c r="C33" s="391"/>
      <c r="D33" s="392"/>
      <c r="E33" s="380">
        <f>IF(E32="-","-",E32*$I$5/1000000)</f>
        <v>81275.43645846445</v>
      </c>
      <c r="F33" s="390"/>
      <c r="G33" s="138"/>
      <c r="H33" s="138"/>
      <c r="I33" s="380">
        <f>IF(I32="","",I32*$I$5/1000000)</f>
        <v>69699.340456764825</v>
      </c>
      <c r="J33" s="380"/>
    </row>
    <row r="34" spans="2:10" ht="15.75" customHeight="1" x14ac:dyDescent="0.3"/>
    <row r="35" spans="2:10" ht="15.75" customHeight="1" x14ac:dyDescent="0.3">
      <c r="B35" s="166" t="s">
        <v>343</v>
      </c>
      <c r="C35" s="386">
        <f>E29</f>
        <v>9.9</v>
      </c>
      <c r="D35" s="387"/>
      <c r="G35" s="388" t="s">
        <v>345</v>
      </c>
      <c r="H35" s="389"/>
      <c r="I35" s="386">
        <f ca="1">'FCFF Model'!C34*0.9</f>
        <v>12.347246296726411</v>
      </c>
      <c r="J35" s="387"/>
    </row>
    <row r="36" spans="2:10" ht="15.75" customHeight="1" x14ac:dyDescent="0.3">
      <c r="B36" s="166" t="s">
        <v>344</v>
      </c>
      <c r="C36" s="378">
        <f>E28</f>
        <v>5000</v>
      </c>
      <c r="D36" s="379"/>
      <c r="G36" s="397" t="s">
        <v>355</v>
      </c>
      <c r="H36" s="397"/>
      <c r="I36" s="398">
        <f ca="1">IF(C26="",0,I35/C29-1)</f>
        <v>0.1975990588483425</v>
      </c>
      <c r="J36" s="399"/>
    </row>
    <row r="37" spans="2:10" ht="15.75" customHeight="1" x14ac:dyDescent="0.3"/>
    <row r="38" spans="2:10" ht="15.75" customHeight="1" x14ac:dyDescent="0.3">
      <c r="B38" s="21" t="s">
        <v>356</v>
      </c>
      <c r="G38" s="369" t="s">
        <v>165</v>
      </c>
      <c r="H38" s="153"/>
      <c r="I38" s="153"/>
      <c r="J38" s="153"/>
    </row>
    <row r="39" spans="2:10" ht="15.75" customHeight="1" x14ac:dyDescent="0.3">
      <c r="B39" s="3" t="s">
        <v>357</v>
      </c>
      <c r="F39" s="234">
        <f>'Qualitative Analysis'!E8</f>
        <v>0.47000000000000003</v>
      </c>
      <c r="G39" s="370"/>
      <c r="H39" s="136"/>
      <c r="I39" s="136"/>
      <c r="J39" s="136"/>
    </row>
    <row r="40" spans="2:10" ht="15.75" customHeight="1" x14ac:dyDescent="0.3">
      <c r="B40" s="3" t="s">
        <v>358</v>
      </c>
      <c r="F40" s="234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 x14ac:dyDescent="0.3">
      <c r="B41" s="3" t="s">
        <v>359</v>
      </c>
      <c r="E41" s="371"/>
      <c r="F41" s="372">
        <f>'Qualitative Analysis'!E64</f>
        <v>0.56680272108843543</v>
      </c>
      <c r="G41" s="370" t="s">
        <v>360</v>
      </c>
      <c r="H41" s="136"/>
      <c r="I41" s="136"/>
      <c r="J41" s="136"/>
    </row>
    <row r="42" spans="2:10" ht="15.75" customHeight="1" x14ac:dyDescent="0.3">
      <c r="B42" s="3" t="s">
        <v>361</v>
      </c>
      <c r="E42" s="371">
        <f ca="1">IF(F42="Strongly disagree",0,IF(F42="disagree",1,IF(F42="So-so",2,IF(F42="agree",3,4))))/4</f>
        <v>0.5</v>
      </c>
      <c r="F42" s="359" t="str">
        <f ca="1">IF(F45&lt;D10,"Strongly Disagree",IF(F45&lt;10%,"Disagree",IF(F45&gt;=30%,"Strongly Agree",IF(F45&gt;=20%,"Agree","So-so"))))</f>
        <v>So-so</v>
      </c>
      <c r="G42" s="95" t="s">
        <v>362</v>
      </c>
      <c r="H42" s="95"/>
      <c r="I42" s="95"/>
      <c r="J42" s="95"/>
    </row>
    <row r="43" spans="2:10" ht="15.75" customHeight="1" x14ac:dyDescent="0.3">
      <c r="B43" s="3" t="s">
        <v>363</v>
      </c>
      <c r="F43" s="373">
        <v>0.7</v>
      </c>
      <c r="G43" s="136"/>
      <c r="H43" s="136"/>
      <c r="I43" s="136"/>
      <c r="J43" s="136"/>
    </row>
    <row r="44" spans="2:10" ht="15.75" customHeight="1" x14ac:dyDescent="0.3"/>
    <row r="45" spans="2:10" ht="15.75" customHeight="1" x14ac:dyDescent="0.3">
      <c r="B45" s="3" t="s">
        <v>364</v>
      </c>
      <c r="F45" s="372">
        <f ca="1">I35/C29-1</f>
        <v>0.1975990588483425</v>
      </c>
    </row>
    <row r="46" spans="2:10" ht="15.75" customHeight="1" x14ac:dyDescent="0.3">
      <c r="B46" s="3" t="s">
        <v>365</v>
      </c>
      <c r="F46" s="372">
        <f ca="1">D14/C29-1</f>
        <v>1.1617546645199539E-2</v>
      </c>
    </row>
    <row r="47" spans="2:10" ht="15.75" customHeight="1" x14ac:dyDescent="0.3"/>
    <row r="48" spans="2:10" ht="15.75" customHeight="1" x14ac:dyDescent="0.3">
      <c r="B48" s="3" t="s">
        <v>366</v>
      </c>
      <c r="F48" s="234">
        <f ca="1">IF(F45&lt;=0,0,AVERAGE(F39:F41,1-F43,E42))</f>
        <v>0.52736054421768708</v>
      </c>
      <c r="G48" s="95"/>
    </row>
    <row r="49" spans="2:8" ht="15.75" customHeight="1" x14ac:dyDescent="0.3">
      <c r="B49" s="3" t="s">
        <v>367</v>
      </c>
      <c r="E49" s="374">
        <f ca="1">F45/ABS(F46)</f>
        <v>17.008673593748124</v>
      </c>
      <c r="F49" s="375">
        <f ca="1">IF(F46&gt;=0,100,F45/ABS(F46))</f>
        <v>100</v>
      </c>
      <c r="G49" s="95"/>
    </row>
    <row r="50" spans="2:8" ht="15.75" customHeight="1" x14ac:dyDescent="0.3">
      <c r="B50" s="3" t="s">
        <v>368</v>
      </c>
      <c r="E50" s="127">
        <f ca="1">MAX(F48-ABS((1-F48)/F49),0)/2</f>
        <v>0.26131707482993199</v>
      </c>
      <c r="F50" s="376">
        <f ca="1">MIN(E50,H50)</f>
        <v>0.26131707482993199</v>
      </c>
      <c r="G50" s="377" t="s">
        <v>369</v>
      </c>
      <c r="H50" s="99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AD811624-A40D-4FBE-B9ED-B47D34B44E3A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99">
        <f>C3</f>
        <v>44742</v>
      </c>
      <c r="D6" s="300">
        <f>EOMONTH(EDATE(C6,-12),0)</f>
        <v>44377</v>
      </c>
      <c r="E6" s="300">
        <f t="shared" ref="E6:M6" si="0">EOMONTH(EDATE(D6,-12),0)</f>
        <v>44012</v>
      </c>
      <c r="F6" s="300">
        <f t="shared" si="0"/>
        <v>43646</v>
      </c>
      <c r="G6" s="300">
        <f t="shared" si="0"/>
        <v>43281</v>
      </c>
      <c r="H6" s="300">
        <f t="shared" si="0"/>
        <v>42916</v>
      </c>
      <c r="I6" s="300">
        <f t="shared" si="0"/>
        <v>42551</v>
      </c>
      <c r="J6" s="300">
        <f t="shared" si="0"/>
        <v>42185</v>
      </c>
      <c r="K6" s="300">
        <f t="shared" si="0"/>
        <v>41820</v>
      </c>
      <c r="L6" s="300">
        <f t="shared" si="0"/>
        <v>41455</v>
      </c>
      <c r="M6" s="300">
        <f t="shared" si="0"/>
        <v>41090</v>
      </c>
    </row>
    <row r="7" spans="1:14" ht="15.75" customHeight="1" x14ac:dyDescent="0.3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 x14ac:dyDescent="0.3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 x14ac:dyDescent="0.3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 x14ac:dyDescent="0.3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 x14ac:dyDescent="0.3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 x14ac:dyDescent="0.3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 x14ac:dyDescent="0.3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 x14ac:dyDescent="0.3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 x14ac:dyDescent="0.3">
      <c r="A24" s="9"/>
      <c r="B24" s="161" t="s">
        <v>60</v>
      </c>
      <c r="C24" s="293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 x14ac:dyDescent="0.3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 x14ac:dyDescent="0.3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 x14ac:dyDescent="0.3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 x14ac:dyDescent="0.3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 x14ac:dyDescent="0.3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 x14ac:dyDescent="0.3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 x14ac:dyDescent="0.3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 x14ac:dyDescent="0.3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 x14ac:dyDescent="0.3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 x14ac:dyDescent="0.3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56" t="s">
        <v>79</v>
      </c>
      <c r="E49" s="383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57">
        <v>5</v>
      </c>
      <c r="E51" s="458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59" t="s">
        <v>83</v>
      </c>
      <c r="E52" s="460"/>
      <c r="F52" s="59" t="s">
        <v>84</v>
      </c>
    </row>
    <row r="53" spans="1:6" ht="15.75" customHeight="1" x14ac:dyDescent="0.3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E11" sqref="E11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284</v>
      </c>
      <c r="C3" s="6"/>
      <c r="D3" s="294">
        <v>160090995.734</v>
      </c>
      <c r="E3" s="176" t="str">
        <f>IF((C46-I46)=D3,"", "Error!")</f>
        <v/>
      </c>
      <c r="F3" s="6"/>
      <c r="G3" s="6"/>
      <c r="H3" s="295" t="s">
        <v>285</v>
      </c>
      <c r="I3" s="296">
        <v>159323330.11500001</v>
      </c>
    </row>
    <row r="4" spans="1:10" ht="15" customHeight="1" x14ac:dyDescent="0.3">
      <c r="B4" s="5" t="s">
        <v>251</v>
      </c>
      <c r="C4" s="6"/>
      <c r="D4" s="297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 x14ac:dyDescent="0.3">
      <c r="B7" s="53" t="s">
        <v>111</v>
      </c>
      <c r="D7" s="82">
        <f>MAX(((D6+MIN('FCFF Model'!D4,0))*Exchange_Rate*Data!C4)/Dashboard!I5,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 x14ac:dyDescent="0.3">
      <c r="D8" s="6"/>
      <c r="H8" s="3" t="s">
        <v>349</v>
      </c>
      <c r="I8" s="90">
        <f>C24/I26</f>
        <v>3.2145491810156961</v>
      </c>
    </row>
    <row r="9" spans="1:10" ht="15" customHeight="1" x14ac:dyDescent="0.3">
      <c r="A9" s="4"/>
      <c r="B9" s="288" t="s">
        <v>280</v>
      </c>
      <c r="C9" s="275"/>
      <c r="D9" s="292">
        <v>44926</v>
      </c>
      <c r="E9" s="289" t="str">
        <f>IF(D9=Data!C3,"FY","Quarter")</f>
        <v>Quarter</v>
      </c>
      <c r="F9" s="153"/>
      <c r="G9" s="153"/>
      <c r="H9" s="153"/>
      <c r="I9" s="153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4" x14ac:dyDescent="0.3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4" x14ac:dyDescent="0.3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4" x14ac:dyDescent="0.3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4" x14ac:dyDescent="0.3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4" x14ac:dyDescent="0.3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4" x14ac:dyDescent="0.3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4" x14ac:dyDescent="0.3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 x14ac:dyDescent="0.3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 x14ac:dyDescent="0.3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 x14ac:dyDescent="0.3">
      <c r="C27" s="6"/>
      <c r="D27" s="6"/>
      <c r="E27" s="6"/>
      <c r="F27" s="30" t="s">
        <v>267</v>
      </c>
      <c r="G27" s="6"/>
      <c r="I27" s="6"/>
      <c r="J27" s="6"/>
    </row>
    <row r="28" spans="2:10" ht="15" customHeight="1" x14ac:dyDescent="0.3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 x14ac:dyDescent="0.3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 x14ac:dyDescent="0.3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4" x14ac:dyDescent="0.3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4" x14ac:dyDescent="0.3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4" x14ac:dyDescent="0.3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4" x14ac:dyDescent="0.3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 x14ac:dyDescent="0.3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4" x14ac:dyDescent="0.3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 x14ac:dyDescent="0.3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 x14ac:dyDescent="0.3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 x14ac:dyDescent="0.3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 x14ac:dyDescent="0.3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158</v>
      </c>
      <c r="C48" s="21"/>
      <c r="D48" s="52"/>
    </row>
    <row r="49" spans="2:9" ht="14" x14ac:dyDescent="0.3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4" x14ac:dyDescent="0.3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291</v>
      </c>
      <c r="C52" s="5"/>
      <c r="D52" s="461">
        <f>D53+D54+D55</f>
        <v>6739518.3509999998</v>
      </c>
      <c r="E52" s="462"/>
      <c r="F52" s="53"/>
      <c r="G52" s="53"/>
    </row>
    <row r="53" spans="2:9" ht="14.5" thickTop="1" x14ac:dyDescent="0.3">
      <c r="B53" s="79" t="s">
        <v>261</v>
      </c>
      <c r="C53" s="6"/>
      <c r="D53" s="464">
        <f>SUM(I11:I13)+SUM(I28:I30)</f>
        <v>6739518.3509999998</v>
      </c>
      <c r="E53" s="403"/>
      <c r="F53" s="5"/>
      <c r="G53" s="5"/>
      <c r="H53" s="3" t="s">
        <v>354</v>
      </c>
      <c r="I53" s="14">
        <f>D53/I3</f>
        <v>4.2300888050327577E-2</v>
      </c>
    </row>
    <row r="54" spans="2:9" ht="14" x14ac:dyDescent="0.3">
      <c r="B54" s="79" t="s">
        <v>160</v>
      </c>
      <c r="C54" s="6"/>
      <c r="D54" s="469">
        <v>0</v>
      </c>
      <c r="E54" s="383"/>
      <c r="F54" s="6" t="s">
        <v>161</v>
      </c>
      <c r="G54" s="6"/>
    </row>
    <row r="55" spans="2:9" ht="12.75" customHeight="1" x14ac:dyDescent="0.3">
      <c r="B55" s="79" t="s">
        <v>159</v>
      </c>
      <c r="C55" s="6"/>
      <c r="D55" s="469">
        <v>0</v>
      </c>
      <c r="E55" s="383"/>
      <c r="F55" s="5" t="s">
        <v>162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163</v>
      </c>
      <c r="C57" s="5"/>
      <c r="D57" s="463"/>
      <c r="E57" s="463"/>
      <c r="F57" s="19"/>
      <c r="G57" s="19"/>
    </row>
    <row r="58" spans="2:9" ht="15" customHeight="1" x14ac:dyDescent="0.3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4" x14ac:dyDescent="0.3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4" x14ac:dyDescent="0.3">
      <c r="B60" s="53" t="s">
        <v>164</v>
      </c>
      <c r="C60" s="6"/>
      <c r="D60" s="467">
        <f>((Dashboard!I6*Data!C4)+D52+E50-C58-C59)</f>
        <v>24160921.014919989</v>
      </c>
      <c r="E60" s="468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2" t="s">
        <v>290</v>
      </c>
    </row>
    <row r="63" spans="2:9" ht="15" customHeight="1" x14ac:dyDescent="0.3">
      <c r="B63" s="3" t="s">
        <v>293</v>
      </c>
      <c r="D63" s="398">
        <f>((C26-C11-C12-C14-C15-C16*G16-C19*G19-C20*G20)-I26)/Data!C7</f>
        <v>0.5934554144758829</v>
      </c>
      <c r="E63" s="399"/>
    </row>
    <row r="64" spans="2:9" ht="15" customHeight="1" x14ac:dyDescent="0.3">
      <c r="B64" s="3" t="s">
        <v>292</v>
      </c>
      <c r="D64" s="465">
        <v>8.5599999999999996E-2</v>
      </c>
      <c r="E64" s="466"/>
      <c r="F64" s="286" t="s">
        <v>277</v>
      </c>
    </row>
    <row r="65" spans="2:5" ht="15" customHeight="1" x14ac:dyDescent="0.3">
      <c r="B65" s="312" t="s">
        <v>294</v>
      </c>
      <c r="D65" s="465">
        <v>0.15</v>
      </c>
      <c r="E65" s="466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27" sqref="C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274</v>
      </c>
      <c r="C2" s="306" t="s">
        <v>288</v>
      </c>
      <c r="D2" s="306"/>
      <c r="E2" s="306">
        <v>1</v>
      </c>
      <c r="F2" s="306"/>
      <c r="G2" s="306">
        <v>2</v>
      </c>
      <c r="H2" s="12"/>
      <c r="I2" s="306">
        <v>3</v>
      </c>
      <c r="J2" s="306"/>
      <c r="K2" s="12"/>
      <c r="L2" s="12"/>
    </row>
    <row r="3" spans="1:13" ht="15.75" customHeight="1" x14ac:dyDescent="0.3">
      <c r="B3" s="29" t="str">
        <f>'FCFF Model'!B3</f>
        <v>(Numbers in 1000HKD)</v>
      </c>
      <c r="C3" s="298">
        <f>Data!C3</f>
        <v>44742</v>
      </c>
      <c r="D3" s="28" t="s">
        <v>276</v>
      </c>
      <c r="E3" s="298">
        <f>EOMONTH(EDATE(C3,12),0)</f>
        <v>45107</v>
      </c>
      <c r="F3" s="28" t="s">
        <v>276</v>
      </c>
      <c r="G3" s="298">
        <f>IF(G9="","",EOMONTH(EDATE(E3,12),0))</f>
        <v>45473</v>
      </c>
      <c r="H3" s="28"/>
      <c r="I3" s="298" t="str">
        <f>IF(I16="","",EOMONTH(EDATE(G3,12),0))</f>
        <v/>
      </c>
      <c r="J3" s="316"/>
      <c r="L3" s="93" t="s">
        <v>165</v>
      </c>
    </row>
    <row r="4" spans="1:13" ht="15.75" customHeight="1" x14ac:dyDescent="0.3">
      <c r="B4" s="313" t="s">
        <v>311</v>
      </c>
      <c r="C4" s="358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7"/>
      <c r="K4" s="6"/>
      <c r="L4" s="95"/>
      <c r="M4" s="78"/>
    </row>
    <row r="5" spans="1:13" ht="15.75" customHeight="1" x14ac:dyDescent="0.3">
      <c r="B5" s="313" t="s">
        <v>312</v>
      </c>
      <c r="C5" s="358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7"/>
      <c r="K5" s="6"/>
      <c r="L5" s="95"/>
      <c r="M5" s="78"/>
    </row>
    <row r="6" spans="1:13" ht="15.75" customHeight="1" x14ac:dyDescent="0.3">
      <c r="B6" s="313" t="s">
        <v>313</v>
      </c>
      <c r="C6" s="358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7"/>
      <c r="K6" s="6"/>
      <c r="L6" s="95"/>
      <c r="M6" s="78"/>
    </row>
    <row r="7" spans="1:13" ht="15.75" customHeight="1" x14ac:dyDescent="0.3">
      <c r="B7" s="313" t="s">
        <v>314</v>
      </c>
      <c r="C7" s="358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7"/>
      <c r="K7" s="6"/>
      <c r="L7" s="95"/>
      <c r="M7" s="78"/>
    </row>
    <row r="8" spans="1:13" ht="15.75" customHeight="1" x14ac:dyDescent="0.3">
      <c r="B8" s="5" t="s">
        <v>167</v>
      </c>
      <c r="C8" s="200">
        <f>SUM(C4:C7)</f>
        <v>15467783.910999998</v>
      </c>
      <c r="D8" s="279"/>
      <c r="E8" s="357">
        <f>SUM(E4:E7)</f>
        <v>10444481.390000001</v>
      </c>
      <c r="F8" s="279"/>
      <c r="G8" s="357">
        <f>SUM(G4:G7)</f>
        <v>13584683.287</v>
      </c>
      <c r="H8" s="279"/>
      <c r="I8" s="248"/>
      <c r="J8" s="308"/>
      <c r="K8" s="6"/>
      <c r="L8" s="95" t="s">
        <v>295</v>
      </c>
      <c r="M8" s="78"/>
    </row>
    <row r="9" spans="1:13" ht="15.75" customHeight="1" x14ac:dyDescent="0.3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7"/>
      <c r="K9" s="6"/>
      <c r="L9" s="95"/>
      <c r="M9" s="78"/>
    </row>
    <row r="10" spans="1:13" ht="15.75" customHeight="1" x14ac:dyDescent="0.3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2">
        <f>IF(G8="","",G8*(1-G11))</f>
        <v>6792341.6435000002</v>
      </c>
      <c r="H10" s="282"/>
      <c r="I10" s="302" t="str">
        <f>IF(I8="","",I8*(1-I11))</f>
        <v/>
      </c>
      <c r="J10" s="348"/>
      <c r="K10" s="6"/>
      <c r="L10" s="136"/>
      <c r="M10" s="1"/>
    </row>
    <row r="11" spans="1:13" ht="15.75" customHeight="1" x14ac:dyDescent="0.3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9"/>
      <c r="K11" s="6"/>
      <c r="L11" s="95"/>
    </row>
    <row r="12" spans="1:13" ht="15.75" customHeight="1" x14ac:dyDescent="0.3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 x14ac:dyDescent="0.3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50"/>
      <c r="K13" s="6"/>
      <c r="L13" s="95"/>
    </row>
    <row r="14" spans="1:13" ht="15.75" customHeight="1" x14ac:dyDescent="0.3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1"/>
      <c r="K14" s="6"/>
      <c r="L14" s="95"/>
    </row>
    <row r="15" spans="1:13" ht="15.75" customHeight="1" x14ac:dyDescent="0.3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 x14ac:dyDescent="0.3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2"/>
      <c r="K16" s="6"/>
      <c r="L16" s="98"/>
      <c r="M16" s="99"/>
    </row>
    <row r="17" spans="2:13" ht="15.75" customHeight="1" x14ac:dyDescent="0.3">
      <c r="B17" s="154" t="s">
        <v>272</v>
      </c>
      <c r="C17" s="339">
        <f>C12-C14</f>
        <v>7124497.2259999989</v>
      </c>
      <c r="D17" s="340"/>
      <c r="E17" s="339">
        <f>E12-E14</f>
        <v>3094712.9636000008</v>
      </c>
      <c r="F17" s="340"/>
      <c r="G17" s="339">
        <f>IF(G9="","",G12-G14)</f>
        <v>5569720.1476700008</v>
      </c>
      <c r="H17" s="340"/>
      <c r="I17" s="339" t="str">
        <f>IF(I9="","",I12-I14)</f>
        <v/>
      </c>
      <c r="J17" s="353"/>
      <c r="K17" s="6"/>
      <c r="L17" s="100"/>
      <c r="M17" s="77"/>
    </row>
    <row r="18" spans="2:13" ht="15.75" customHeight="1" x14ac:dyDescent="0.3">
      <c r="B18" s="335" t="s">
        <v>172</v>
      </c>
      <c r="C18" s="336">
        <v>0.25</v>
      </c>
      <c r="D18" s="337"/>
      <c r="E18" s="338">
        <f>IF(E17="","",C18)</f>
        <v>0.25</v>
      </c>
      <c r="F18" s="338"/>
      <c r="G18" s="338">
        <f>IF(G17="","",E18)</f>
        <v>0.25</v>
      </c>
      <c r="H18" s="338"/>
      <c r="I18" s="338" t="str">
        <f>IF(I17="","",G18)</f>
        <v/>
      </c>
      <c r="J18" s="354"/>
    </row>
    <row r="19" spans="2:13" ht="15.75" customHeight="1" x14ac:dyDescent="0.3">
      <c r="B19" s="344" t="s">
        <v>302</v>
      </c>
      <c r="C19" s="208"/>
      <c r="D19" s="346"/>
      <c r="E19" s="345">
        <f>E20/C20-1</f>
        <v>-0.56562366923153307</v>
      </c>
      <c r="F19" s="345"/>
      <c r="G19" s="345">
        <f>IF(G20="","",G20/E20-1)</f>
        <v>0.79975339011437319</v>
      </c>
      <c r="H19" s="345"/>
      <c r="I19" s="345" t="str">
        <f>IF(I20="","",I20/G20-1)</f>
        <v/>
      </c>
      <c r="J19" s="355"/>
    </row>
    <row r="20" spans="2:13" ht="15.75" customHeight="1" x14ac:dyDescent="0.3">
      <c r="B20" s="341" t="s">
        <v>100</v>
      </c>
      <c r="C20" s="342">
        <f>IF(C17&lt;=0,C17,C17*(1-C18))</f>
        <v>5343372.9194999989</v>
      </c>
      <c r="D20" s="342"/>
      <c r="E20" s="343">
        <f>IF(E17="","",IF(E17&lt;=0,E17,E17*(1-E18)))</f>
        <v>2321034.7227000007</v>
      </c>
      <c r="F20" s="342"/>
      <c r="G20" s="343">
        <f>IF(G17="","",IF(G17&lt;=0,G17,G17*(1-G18)))</f>
        <v>4177290.1107525006</v>
      </c>
      <c r="H20" s="342"/>
      <c r="I20" s="343" t="str">
        <f>IF(I17="","",IF(I17&lt;=0,I17,I17*(1-I18)))</f>
        <v/>
      </c>
      <c r="J20" s="35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 G20 I20">
    <cfRule type="containsBlanks" dxfId="5" priority="2">
      <formula>LEN(TRIM(E18))=0</formula>
    </cfRule>
  </conditionalFormatting>
  <conditionalFormatting sqref="G9:H13 G15:H17 H14">
    <cfRule type="containsBlanks" dxfId="4" priority="8">
      <formula>LEN(TRIM(G9))=0</formula>
    </cfRule>
    <cfRule type="containsBlanks" priority="9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abSelected="1" topLeftCell="A19" zoomScaleNormal="100" zoomScalePageLayoutView="80" workbookViewId="0">
      <selection activeCell="A31" sqref="A31:XFD31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250</v>
      </c>
      <c r="C2" s="306" t="s">
        <v>288</v>
      </c>
      <c r="D2" s="306">
        <v>1</v>
      </c>
      <c r="E2" s="306">
        <v>2</v>
      </c>
      <c r="F2" s="306">
        <v>3</v>
      </c>
      <c r="G2" s="30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98">
        <f>Operation!C3</f>
        <v>44742</v>
      </c>
      <c r="D3" s="298">
        <f>Operation!E3</f>
        <v>45107</v>
      </c>
      <c r="E3" s="298">
        <f>Operation!G3</f>
        <v>45473</v>
      </c>
      <c r="F3" s="298" t="str">
        <f>Operation!I3</f>
        <v/>
      </c>
      <c r="G3" s="28" t="s">
        <v>286</v>
      </c>
      <c r="I3" s="93" t="s">
        <v>165</v>
      </c>
    </row>
    <row r="4" spans="1:10" ht="15.75" customHeight="1" x14ac:dyDescent="0.3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3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 x14ac:dyDescent="0.3">
      <c r="B6" s="17" t="s">
        <v>69</v>
      </c>
      <c r="C6" s="86">
        <v>0.27</v>
      </c>
      <c r="D6" s="246">
        <v>0.27</v>
      </c>
      <c r="E6" s="86">
        <v>0.27</v>
      </c>
      <c r="F6" s="328"/>
      <c r="G6" s="219"/>
      <c r="H6" s="6"/>
      <c r="I6" s="98"/>
    </row>
    <row r="7" spans="1:10" ht="15" customHeight="1" thickBot="1" x14ac:dyDescent="0.35">
      <c r="B7" s="102" t="s">
        <v>296</v>
      </c>
      <c r="C7" s="329">
        <f>C4*C6</f>
        <v>1442710.6882649998</v>
      </c>
      <c r="D7" s="329">
        <f>D4*D6</f>
        <v>626679.37512900028</v>
      </c>
      <c r="E7" s="330">
        <f>E4*E6</f>
        <v>1127868.3299031751</v>
      </c>
      <c r="F7" s="330"/>
      <c r="G7" s="220"/>
      <c r="H7" s="103"/>
      <c r="I7" s="77"/>
      <c r="J7" s="77"/>
    </row>
    <row r="8" spans="1:10" ht="15.75" customHeight="1" thickTop="1" x14ac:dyDescent="0.3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 x14ac:dyDescent="0.3">
      <c r="B9" s="223" t="s">
        <v>243</v>
      </c>
      <c r="C9" s="213">
        <f>C8/(Common_Shares/Data!$C$4)</f>
        <v>0.48387735757332467</v>
      </c>
      <c r="D9" s="325">
        <f>D8/(Common_Shares/Data!$C$4)</f>
        <v>0.21018487112464224</v>
      </c>
      <c r="E9" s="325">
        <f>IF(E8="","",E8/(Common_Shares/Data!$C$4))</f>
        <v>0.37828093435732751</v>
      </c>
      <c r="F9" s="325" t="str">
        <f>IF(F8="","",F8/(Common_Shares/Data!$C$4))</f>
        <v/>
      </c>
      <c r="G9" s="326">
        <f>G8*Data!C$4/Dashboard!I5</f>
        <v>0.37828093435732757</v>
      </c>
      <c r="H9" s="103"/>
      <c r="I9" s="77"/>
      <c r="J9" s="77"/>
    </row>
    <row r="10" spans="1:10" ht="15.75" customHeight="1" x14ac:dyDescent="0.3">
      <c r="B10" s="254" t="s">
        <v>273</v>
      </c>
      <c r="C10" s="331">
        <f>C11/C9</f>
        <v>1.1779844439479163</v>
      </c>
      <c r="D10" s="331">
        <f>D11/D9</f>
        <v>2.6643211616687346</v>
      </c>
      <c r="E10" s="360"/>
      <c r="F10" s="360"/>
      <c r="G10" s="255"/>
      <c r="H10" s="103"/>
      <c r="I10" s="77"/>
      <c r="J10" s="77"/>
    </row>
    <row r="11" spans="1:10" ht="15.75" customHeight="1" x14ac:dyDescent="0.3">
      <c r="B11" s="254" t="s">
        <v>287</v>
      </c>
      <c r="C11" s="304">
        <f>0.42+0.15</f>
        <v>0.56999999999999995</v>
      </c>
      <c r="D11" s="305">
        <v>0.56000000000000005</v>
      </c>
      <c r="E11" s="361"/>
      <c r="F11" s="361"/>
      <c r="G11" s="303"/>
      <c r="H11" s="103"/>
      <c r="I11" s="77"/>
      <c r="J11" s="77"/>
    </row>
    <row r="12" spans="1:10" ht="15.75" customHeight="1" x14ac:dyDescent="0.3">
      <c r="B12" s="19" t="s">
        <v>301</v>
      </c>
      <c r="C12" s="256">
        <v>0</v>
      </c>
      <c r="D12" s="256">
        <f>D11</f>
        <v>0.56000000000000005</v>
      </c>
      <c r="E12" s="362"/>
      <c r="F12" s="362"/>
      <c r="G12" s="250">
        <f>G9*D26</f>
        <v>4.5393712122879304</v>
      </c>
      <c r="H12" s="103"/>
      <c r="I12" s="77"/>
      <c r="J12" s="77"/>
    </row>
    <row r="13" spans="1:10" ht="15.75" customHeight="1" x14ac:dyDescent="0.3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 x14ac:dyDescent="0.3">
      <c r="F16" s="6"/>
      <c r="G16" s="135"/>
    </row>
    <row r="17" spans="1:9" ht="15.75" customHeight="1" x14ac:dyDescent="0.3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 x14ac:dyDescent="0.3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 x14ac:dyDescent="0.3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(G18+MIN(D4,0))*Data!C$4/Dashboard!I5</f>
        <v>5.9834442351159485</v>
      </c>
    </row>
    <row r="20" spans="1:9" ht="15.75" customHeight="1" x14ac:dyDescent="0.3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72" t="str">
        <f>IF(F21+G21=G19,"⇒","Error!")</f>
        <v>⇒</v>
      </c>
      <c r="F20" s="166" t="s">
        <v>271</v>
      </c>
      <c r="G20" s="108" t="s">
        <v>23</v>
      </c>
    </row>
    <row r="21" spans="1:9" ht="15.75" customHeight="1" x14ac:dyDescent="0.3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72"/>
      <c r="F21" s="168">
        <f>D18</f>
        <v>5.4136679995904018</v>
      </c>
      <c r="G21" s="167">
        <f>SUM(D19:D21)</f>
        <v>0.56977623552554724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249</v>
      </c>
      <c r="C23" s="214" t="str">
        <f>B3</f>
        <v>(Numbers in 1000HKD)</v>
      </c>
      <c r="E23" s="475" t="s">
        <v>256</v>
      </c>
      <c r="F23" s="475"/>
      <c r="G23" s="475"/>
    </row>
    <row r="24" spans="1:9" ht="15.75" customHeight="1" x14ac:dyDescent="0.3">
      <c r="B24" s="147" t="str">
        <f>"Exit after Year "&amp;G4</f>
        <v>Exit after Year 2</v>
      </c>
      <c r="C24" s="147" t="s">
        <v>252</v>
      </c>
      <c r="D24" s="222" t="s">
        <v>245</v>
      </c>
      <c r="E24" s="324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 x14ac:dyDescent="0.3">
      <c r="B25" s="30" t="s">
        <v>338</v>
      </c>
      <c r="C25" s="14">
        <f>1/D25</f>
        <v>0.125</v>
      </c>
      <c r="D25" s="317">
        <v>8</v>
      </c>
      <c r="E25" s="226">
        <f ca="1">G9*D25/G14</f>
        <v>2.402332814848648</v>
      </c>
      <c r="F25" s="473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 x14ac:dyDescent="0.3">
      <c r="B26" s="321" t="s">
        <v>339</v>
      </c>
      <c r="C26" s="322">
        <f t="shared" ref="C26" si="0">1/D26</f>
        <v>8.3333333333333329E-2</v>
      </c>
      <c r="D26" s="334">
        <v>12</v>
      </c>
      <c r="E26" s="227">
        <f ca="1">G9*D26/G14</f>
        <v>3.6034992222729718</v>
      </c>
      <c r="F26" s="474"/>
      <c r="G26" s="227">
        <f ca="1">$F$25+E26+$G$19</f>
        <v>10.429776905912007</v>
      </c>
      <c r="I26" s="95" t="s">
        <v>315</v>
      </c>
    </row>
    <row r="27" spans="1:9" ht="15.75" customHeight="1" x14ac:dyDescent="0.3">
      <c r="B27" s="30"/>
      <c r="C27" s="367"/>
      <c r="D27" s="368"/>
      <c r="E27" s="143"/>
      <c r="F27" s="144"/>
      <c r="G27" s="143"/>
      <c r="I27" s="95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70" t="str">
        <f>"(Numbers in "&amp;Dashboard!J4&amp;" per share)"</f>
        <v>(Numbers in HKD per share)</v>
      </c>
      <c r="D29" s="147"/>
      <c r="E29" s="153"/>
      <c r="F29" s="147"/>
      <c r="G29" s="147"/>
      <c r="H29" s="12"/>
      <c r="I29" s="111"/>
    </row>
    <row r="30" spans="1:9" ht="15.75" customHeight="1" x14ac:dyDescent="0.3">
      <c r="A30" s="6"/>
      <c r="B30" s="92" t="s">
        <v>176</v>
      </c>
      <c r="C30" s="272">
        <f ca="1">MIN(Asset_Model!D7,G25*Exchange_Rate)+(ABS(Asset_Model!D7-G25*Exchange_Rate)*'Qualitative Analysis'!E8)</f>
        <v>11.339169963600042</v>
      </c>
      <c r="D30" s="23" t="str">
        <f ca="1">IF(C30&lt;E30,"&lt;",IF(C30=E30,"=","&gt;"))</f>
        <v>&gt;</v>
      </c>
      <c r="E30" s="271">
        <f ca="1">G26*Exchange_Rate</f>
        <v>10.429776905912007</v>
      </c>
      <c r="F30" s="30"/>
      <c r="H30" s="6"/>
      <c r="I30" s="6"/>
    </row>
    <row r="31" spans="1:9" ht="15.75" customHeight="1" x14ac:dyDescent="0.3">
      <c r="B31" s="6"/>
      <c r="C31" s="143"/>
      <c r="D31" s="143"/>
      <c r="E31" s="143"/>
      <c r="F31" s="143"/>
      <c r="G31" s="144"/>
      <c r="H31" s="6"/>
      <c r="I31" s="109"/>
    </row>
    <row r="32" spans="1:9" ht="15.75" customHeight="1" x14ac:dyDescent="0.3">
      <c r="C32" s="470" t="s">
        <v>177</v>
      </c>
      <c r="D32" s="471"/>
      <c r="E32" s="30" t="s">
        <v>244</v>
      </c>
      <c r="F32" s="30" t="s">
        <v>18</v>
      </c>
      <c r="G32" s="30"/>
      <c r="H32" s="6"/>
    </row>
    <row r="33" spans="2:9" ht="15.75" customHeight="1" x14ac:dyDescent="0.3">
      <c r="B33" s="276" t="s">
        <v>258</v>
      </c>
      <c r="C33" s="273">
        <f ca="1">MIN(C30,E30)+ABS(C30-E30)*'Qualitative Analysis'!$E$64</f>
        <v>10.945223365548518</v>
      </c>
      <c r="D33" s="139" t="str">
        <f>Dashboard!J4</f>
        <v>HKD</v>
      </c>
      <c r="E33" s="140">
        <f ca="1">(C33-G19)/C9</f>
        <v>10.254208122728047</v>
      </c>
      <c r="F33" s="178">
        <f ca="1">C33/(Data!C28*Exchange_Rate*Data!C4/Common_Shares)</f>
        <v>0.55762587999140645</v>
      </c>
      <c r="G33" s="108"/>
      <c r="H33" s="6"/>
      <c r="I33" s="95"/>
    </row>
    <row r="34" spans="2:9" ht="15.75" customHeight="1" x14ac:dyDescent="0.3">
      <c r="B34" s="275" t="s">
        <v>257</v>
      </c>
      <c r="C34" s="274">
        <f ca="1">MAX(Asset_Model!D7,(G12/(1+G34)^G4+F25+G19)*Exchange_Rate)</f>
        <v>13.719162551918235</v>
      </c>
      <c r="D34" s="228" t="str">
        <f>D33</f>
        <v>HKD</v>
      </c>
      <c r="E34" s="140">
        <f ca="1">(C34-G19)/C9</f>
        <v>15.986940070098338</v>
      </c>
      <c r="F34" s="178">
        <f ca="1">C34/(Data!C28*Exchange_Rate*Data!C4/Common_Shares)</f>
        <v>0.69894965458981917</v>
      </c>
      <c r="G34" s="301">
        <f>Dashboard!D10+4.5%</f>
        <v>8.3159999999999998E-2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178</v>
      </c>
      <c r="C2" s="116"/>
      <c r="D2" s="12"/>
      <c r="E2" s="12"/>
      <c r="G2" s="93" t="s">
        <v>165</v>
      </c>
    </row>
    <row r="3" spans="1:7" ht="14" x14ac:dyDescent="0.3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4" x14ac:dyDescent="0.3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4" x14ac:dyDescent="0.3">
      <c r="B5" s="6" t="s">
        <v>334</v>
      </c>
      <c r="C5" s="117"/>
      <c r="D5" s="115">
        <f>AVERAGE(D12:D16)</f>
        <v>2.2000000000000002</v>
      </c>
      <c r="E5" s="359" t="str">
        <f>IF(D5&gt;=3.5,"Strongly agree",IF(D5&gt;=2.5,"agree",IF(D5&gt;=1.5,"unclear",IF(D5&gt;=0.5,"disagree","Strongly disagree"))))</f>
        <v>unclear</v>
      </c>
      <c r="G5" s="100"/>
    </row>
    <row r="6" spans="1:7" ht="14" x14ac:dyDescent="0.3">
      <c r="B6" s="6" t="s">
        <v>335</v>
      </c>
      <c r="C6" s="117"/>
      <c r="D6" s="115">
        <f>AVERAGE(D24:D28)</f>
        <v>3.2</v>
      </c>
      <c r="E6" s="359" t="str">
        <f>IF(D6&gt;=3.5,"Strongly agree",IF(D6&gt;=2.5,"agree",IF(D6&gt;=1.5,"unclear",IF(D6&gt;=0.5,"disagree","Strongly disagree"))))</f>
        <v>agree</v>
      </c>
      <c r="G6" s="100"/>
    </row>
    <row r="7" spans="1:7" ht="14" x14ac:dyDescent="0.3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182</v>
      </c>
      <c r="C10" s="20"/>
      <c r="D10" s="20"/>
      <c r="E10" s="12"/>
      <c r="G10" s="314"/>
    </row>
    <row r="11" spans="1:7" ht="15" customHeight="1" x14ac:dyDescent="0.3">
      <c r="B11" s="120" t="s">
        <v>183</v>
      </c>
      <c r="C11" s="114"/>
      <c r="E11" s="6"/>
      <c r="G11" s="314"/>
    </row>
    <row r="12" spans="1:7" ht="15" customHeight="1" x14ac:dyDescent="0.3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4" t="s">
        <v>330</v>
      </c>
    </row>
    <row r="13" spans="1:7" ht="15" customHeight="1" x14ac:dyDescent="0.3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4"/>
    </row>
    <row r="14" spans="1:7" ht="15" customHeight="1" x14ac:dyDescent="0.3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4"/>
    </row>
    <row r="15" spans="1:7" ht="15" customHeight="1" x14ac:dyDescent="0.3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4"/>
    </row>
    <row r="16" spans="1:7" ht="15" customHeight="1" x14ac:dyDescent="0.3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4"/>
    </row>
    <row r="17" spans="2:7" ht="15" customHeight="1" x14ac:dyDescent="0.3">
      <c r="B17" s="120" t="s">
        <v>190</v>
      </c>
      <c r="D17" s="38"/>
      <c r="E17" s="23"/>
      <c r="G17" s="314"/>
    </row>
    <row r="18" spans="2:7" ht="15" customHeight="1" x14ac:dyDescent="0.3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4"/>
    </row>
    <row r="19" spans="2:7" ht="15" customHeight="1" x14ac:dyDescent="0.3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4"/>
    </row>
    <row r="20" spans="2:7" ht="15" customHeight="1" x14ac:dyDescent="0.3">
      <c r="B20" s="53" t="s">
        <v>193</v>
      </c>
      <c r="D20" s="121">
        <f t="shared" si="1"/>
        <v>0</v>
      </c>
      <c r="E20" s="31" t="s">
        <v>203</v>
      </c>
      <c r="F20" s="6"/>
      <c r="G20" s="314"/>
    </row>
    <row r="21" spans="2:7" ht="15" customHeight="1" x14ac:dyDescent="0.3">
      <c r="B21" s="53" t="s">
        <v>194</v>
      </c>
      <c r="D21" s="121">
        <f t="shared" si="1"/>
        <v>2</v>
      </c>
      <c r="E21" s="31" t="s">
        <v>179</v>
      </c>
      <c r="F21" s="6"/>
      <c r="G21" s="314"/>
    </row>
    <row r="22" spans="2:7" ht="15" customHeight="1" x14ac:dyDescent="0.3">
      <c r="B22" s="53" t="s">
        <v>195</v>
      </c>
      <c r="D22" s="121">
        <f t="shared" si="1"/>
        <v>1</v>
      </c>
      <c r="E22" s="31" t="s">
        <v>187</v>
      </c>
      <c r="F22" s="6"/>
      <c r="G22" s="314"/>
    </row>
    <row r="23" spans="2:7" ht="15" customHeight="1" x14ac:dyDescent="0.3">
      <c r="B23" s="120" t="s">
        <v>196</v>
      </c>
      <c r="D23" s="38"/>
      <c r="E23" s="23"/>
      <c r="G23" s="314"/>
    </row>
    <row r="24" spans="2:7" ht="15" customHeight="1" x14ac:dyDescent="0.3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4"/>
    </row>
    <row r="25" spans="2:7" ht="15" customHeight="1" x14ac:dyDescent="0.3">
      <c r="B25" s="53" t="s">
        <v>198</v>
      </c>
      <c r="D25" s="121">
        <f t="shared" si="2"/>
        <v>3</v>
      </c>
      <c r="E25" s="31" t="s">
        <v>180</v>
      </c>
      <c r="F25" s="6"/>
      <c r="G25" s="314"/>
    </row>
    <row r="26" spans="2:7" ht="15" customHeight="1" x14ac:dyDescent="0.3">
      <c r="B26" s="53" t="s">
        <v>328</v>
      </c>
      <c r="D26" s="121">
        <f t="shared" si="2"/>
        <v>3</v>
      </c>
      <c r="E26" s="31" t="s">
        <v>180</v>
      </c>
      <c r="F26" s="6"/>
      <c r="G26" s="314"/>
    </row>
    <row r="27" spans="2:7" ht="15" customHeight="1" x14ac:dyDescent="0.3">
      <c r="B27" s="53" t="s">
        <v>329</v>
      </c>
      <c r="D27" s="121">
        <f t="shared" si="2"/>
        <v>3</v>
      </c>
      <c r="E27" s="31" t="s">
        <v>180</v>
      </c>
      <c r="F27" s="6"/>
      <c r="G27" s="314"/>
    </row>
    <row r="28" spans="2:7" ht="15" customHeight="1" x14ac:dyDescent="0.3">
      <c r="B28" s="53" t="s">
        <v>199</v>
      </c>
      <c r="D28" s="121">
        <f t="shared" si="2"/>
        <v>3</v>
      </c>
      <c r="E28" s="31" t="s">
        <v>180</v>
      </c>
      <c r="F28" s="6"/>
      <c r="G28" s="314"/>
    </row>
    <row r="29" spans="2:7" ht="15" customHeight="1" x14ac:dyDescent="0.3">
      <c r="B29" s="120" t="s">
        <v>200</v>
      </c>
      <c r="D29" s="38"/>
      <c r="E29" s="23"/>
      <c r="G29" s="314"/>
    </row>
    <row r="30" spans="2:7" ht="15" customHeight="1" x14ac:dyDescent="0.3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4"/>
    </row>
    <row r="31" spans="2:7" ht="15" customHeight="1" x14ac:dyDescent="0.3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4"/>
    </row>
    <row r="32" spans="2:7" ht="15" customHeight="1" x14ac:dyDescent="0.3">
      <c r="B32" s="53" t="s">
        <v>317</v>
      </c>
      <c r="D32" s="121">
        <f t="shared" si="3"/>
        <v>4</v>
      </c>
      <c r="E32" s="31" t="s">
        <v>189</v>
      </c>
      <c r="F32" s="6"/>
      <c r="G32" s="314"/>
    </row>
    <row r="33" spans="2:7" ht="15" customHeight="1" x14ac:dyDescent="0.3">
      <c r="B33" s="53" t="s">
        <v>320</v>
      </c>
      <c r="D33" s="121">
        <f t="shared" si="3"/>
        <v>0</v>
      </c>
      <c r="E33" s="31" t="s">
        <v>203</v>
      </c>
      <c r="F33" s="6"/>
      <c r="G33" s="314"/>
    </row>
    <row r="34" spans="2:7" ht="15" customHeight="1" x14ac:dyDescent="0.3">
      <c r="B34" s="53" t="s">
        <v>318</v>
      </c>
      <c r="D34" s="121">
        <f t="shared" si="3"/>
        <v>2</v>
      </c>
      <c r="E34" s="31" t="s">
        <v>179</v>
      </c>
      <c r="F34" s="6"/>
      <c r="G34" s="314"/>
    </row>
    <row r="35" spans="2:7" ht="15" customHeight="1" x14ac:dyDescent="0.3">
      <c r="B35" s="53" t="s">
        <v>319</v>
      </c>
      <c r="D35" s="121">
        <f t="shared" si="3"/>
        <v>4</v>
      </c>
      <c r="E35" s="31" t="s">
        <v>189</v>
      </c>
      <c r="G35" s="314"/>
    </row>
    <row r="36" spans="2:7" ht="15" customHeight="1" x14ac:dyDescent="0.3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4"/>
    </row>
    <row r="37" spans="2:7" ht="15" customHeight="1" x14ac:dyDescent="0.3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4"/>
    </row>
    <row r="38" spans="2:7" ht="15" customHeight="1" x14ac:dyDescent="0.3">
      <c r="B38" s="53" t="s">
        <v>321</v>
      </c>
      <c r="D38" s="121">
        <f t="shared" si="4"/>
        <v>0</v>
      </c>
      <c r="E38" s="31" t="s">
        <v>203</v>
      </c>
      <c r="F38" s="6"/>
      <c r="G38" s="314"/>
    </row>
    <row r="39" spans="2:7" ht="15" customHeight="1" x14ac:dyDescent="0.3">
      <c r="B39" s="53" t="s">
        <v>322</v>
      </c>
      <c r="D39" s="121">
        <f t="shared" si="4"/>
        <v>0</v>
      </c>
      <c r="E39" s="31" t="s">
        <v>203</v>
      </c>
      <c r="F39" s="6"/>
      <c r="G39" s="314"/>
    </row>
    <row r="40" spans="2:7" ht="15" customHeight="1" x14ac:dyDescent="0.3">
      <c r="B40" s="53" t="s">
        <v>323</v>
      </c>
      <c r="D40" s="121">
        <f t="shared" si="4"/>
        <v>4</v>
      </c>
      <c r="E40" s="31" t="s">
        <v>189</v>
      </c>
      <c r="F40" s="6"/>
      <c r="G40" s="314"/>
    </row>
    <row r="41" spans="2:7" ht="15" customHeight="1" x14ac:dyDescent="0.3">
      <c r="B41" s="53" t="s">
        <v>324</v>
      </c>
      <c r="D41" s="121">
        <f t="shared" si="4"/>
        <v>0</v>
      </c>
      <c r="E41" s="31" t="s">
        <v>203</v>
      </c>
      <c r="G41" s="314"/>
    </row>
    <row r="42" spans="2:7" ht="15" customHeight="1" x14ac:dyDescent="0.3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4"/>
    </row>
    <row r="43" spans="2:7" ht="15" customHeight="1" x14ac:dyDescent="0.3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4"/>
    </row>
    <row r="44" spans="2:7" ht="15" customHeight="1" x14ac:dyDescent="0.3">
      <c r="B44" s="53" t="s">
        <v>208</v>
      </c>
      <c r="D44" s="121">
        <f t="shared" si="5"/>
        <v>3</v>
      </c>
      <c r="E44" s="31" t="s">
        <v>180</v>
      </c>
      <c r="F44" s="6"/>
      <c r="G44" s="314"/>
    </row>
    <row r="45" spans="2:7" ht="15" customHeight="1" x14ac:dyDescent="0.3">
      <c r="B45" s="53" t="s">
        <v>209</v>
      </c>
      <c r="D45" s="121">
        <f t="shared" si="5"/>
        <v>4</v>
      </c>
      <c r="E45" s="31" t="s">
        <v>189</v>
      </c>
      <c r="F45" s="6"/>
      <c r="G45" s="314"/>
    </row>
    <row r="46" spans="2:7" ht="15" customHeight="1" x14ac:dyDescent="0.3">
      <c r="B46" s="53" t="s">
        <v>210</v>
      </c>
      <c r="D46" s="121">
        <f t="shared" si="5"/>
        <v>0</v>
      </c>
      <c r="E46" s="31" t="s">
        <v>203</v>
      </c>
      <c r="F46" s="6"/>
      <c r="G46" s="314"/>
    </row>
    <row r="47" spans="2:7" ht="15" customHeight="1" x14ac:dyDescent="0.3">
      <c r="B47" s="53" t="s">
        <v>211</v>
      </c>
      <c r="D47" s="121">
        <f t="shared" si="5"/>
        <v>4</v>
      </c>
      <c r="E47" s="31" t="s">
        <v>189</v>
      </c>
      <c r="F47" s="6"/>
      <c r="G47" s="314"/>
    </row>
    <row r="48" spans="2:7" ht="15" customHeight="1" x14ac:dyDescent="0.3">
      <c r="B48" s="53" t="s">
        <v>237</v>
      </c>
      <c r="D48" s="121">
        <f t="shared" si="5"/>
        <v>0</v>
      </c>
      <c r="E48" s="31" t="s">
        <v>203</v>
      </c>
      <c r="F48" s="6"/>
      <c r="G48" s="314"/>
    </row>
    <row r="49" spans="2:8" ht="15" customHeight="1" x14ac:dyDescent="0.3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4"/>
    </row>
    <row r="50" spans="2:8" ht="15" customHeight="1" x14ac:dyDescent="0.3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4"/>
    </row>
    <row r="51" spans="2:8" ht="15" customHeight="1" x14ac:dyDescent="0.3">
      <c r="B51" s="53" t="s">
        <v>214</v>
      </c>
      <c r="D51" s="121">
        <f t="shared" si="6"/>
        <v>3</v>
      </c>
      <c r="E51" s="31" t="s">
        <v>180</v>
      </c>
      <c r="F51" s="6"/>
      <c r="G51" s="314"/>
    </row>
    <row r="52" spans="2:8" ht="15" customHeight="1" x14ac:dyDescent="0.3">
      <c r="B52" s="53" t="s">
        <v>325</v>
      </c>
      <c r="D52" s="121">
        <f t="shared" si="6"/>
        <v>2</v>
      </c>
      <c r="E52" s="31" t="s">
        <v>179</v>
      </c>
      <c r="G52" s="314"/>
    </row>
    <row r="53" spans="2:8" ht="15" customHeight="1" x14ac:dyDescent="0.3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4"/>
      <c r="H53" s="53"/>
    </row>
    <row r="54" spans="2:8" ht="15" customHeight="1" x14ac:dyDescent="0.3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4"/>
      <c r="H54" s="53"/>
    </row>
    <row r="55" spans="2:8" ht="15" customHeight="1" x14ac:dyDescent="0.3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4"/>
      <c r="H55" s="53"/>
    </row>
    <row r="56" spans="2:8" ht="15" customHeight="1" x14ac:dyDescent="0.3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4"/>
      <c r="H56" s="53"/>
    </row>
    <row r="57" spans="2:8" ht="15" customHeight="1" x14ac:dyDescent="0.3">
      <c r="B57" s="53" t="s">
        <v>217</v>
      </c>
      <c r="D57" s="121">
        <f t="shared" si="7"/>
        <v>3</v>
      </c>
      <c r="E57" s="31" t="s">
        <v>180</v>
      </c>
      <c r="F57" s="53"/>
      <c r="G57" s="314"/>
      <c r="H57" s="53"/>
    </row>
    <row r="58" spans="2:8" ht="15" customHeight="1" x14ac:dyDescent="0.3">
      <c r="B58" s="53" t="s">
        <v>238</v>
      </c>
      <c r="D58" s="121">
        <f t="shared" si="7"/>
        <v>3</v>
      </c>
      <c r="E58" s="31" t="s">
        <v>180</v>
      </c>
      <c r="F58" s="53"/>
      <c r="G58" s="314"/>
      <c r="H58" s="53"/>
    </row>
    <row r="59" spans="2:8" ht="15" customHeight="1" x14ac:dyDescent="0.3">
      <c r="B59" s="53" t="s">
        <v>239</v>
      </c>
      <c r="D59" s="121">
        <f t="shared" si="7"/>
        <v>4</v>
      </c>
      <c r="E59" s="31" t="s">
        <v>189</v>
      </c>
      <c r="F59" s="53"/>
      <c r="G59" s="314"/>
      <c r="H59" s="53"/>
    </row>
    <row r="60" spans="2:8" ht="15" customHeight="1" x14ac:dyDescent="0.3">
      <c r="B60" s="53" t="s">
        <v>240</v>
      </c>
      <c r="D60" s="121">
        <f t="shared" si="7"/>
        <v>3</v>
      </c>
      <c r="E60" s="31" t="s">
        <v>180</v>
      </c>
      <c r="F60" s="53"/>
      <c r="G60" s="314"/>
      <c r="H60" s="53"/>
    </row>
    <row r="61" spans="2:8" ht="15" customHeight="1" x14ac:dyDescent="0.3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4"/>
      <c r="H61" s="53"/>
    </row>
    <row r="62" spans="2:8" ht="15" customHeight="1" x14ac:dyDescent="0.3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4"/>
      <c r="H62" s="53"/>
    </row>
    <row r="63" spans="2:8" ht="15" customHeight="1" x14ac:dyDescent="0.3">
      <c r="D63" s="6"/>
      <c r="G63" s="314"/>
    </row>
    <row r="64" spans="2:8" ht="15" customHeight="1" x14ac:dyDescent="0.3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4"/>
    </row>
    <row r="65" spans="2:7" ht="15" customHeight="1" x14ac:dyDescent="0.3">
      <c r="G65" s="315"/>
    </row>
    <row r="66" spans="2:7" ht="15" customHeight="1" x14ac:dyDescent="0.3">
      <c r="B66" s="54" t="s">
        <v>220</v>
      </c>
      <c r="C66" s="7"/>
      <c r="D66" s="7"/>
      <c r="E66" s="56"/>
    </row>
    <row r="67" spans="2:7" ht="15" customHeight="1" x14ac:dyDescent="0.3">
      <c r="B67" s="126" t="s">
        <v>221</v>
      </c>
      <c r="C67" s="127"/>
      <c r="D67" s="127"/>
      <c r="E67" s="128"/>
    </row>
    <row r="68" spans="2:7" ht="15" customHeight="1" x14ac:dyDescent="0.3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 x14ac:dyDescent="0.3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 x14ac:dyDescent="0.3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 x14ac:dyDescent="0.3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 x14ac:dyDescent="0.3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 x14ac:dyDescent="0.3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 x14ac:dyDescent="0.3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 x14ac:dyDescent="0.3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 x14ac:dyDescent="0.3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 x14ac:dyDescent="0.3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2023-03-22T11:39:36Z</dcterms:modified>
  <cp:category/>
  <cp:contentStatus/>
</cp:coreProperties>
</file>