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154DF4F7-D50F-4E8C-9E68-F84E9693721B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5" i="1"/>
  <c r="F40" i="1"/>
  <c r="I36" i="1"/>
  <c r="E26" i="1"/>
  <c r="E7" i="3"/>
  <c r="C36" i="1"/>
  <c r="C35" i="1"/>
  <c r="B18" i="1" s="1"/>
  <c r="E6" i="1"/>
  <c r="D11" i="4"/>
  <c r="C11" i="4"/>
  <c r="F42" i="1" l="1"/>
  <c r="E42" i="1" s="1"/>
  <c r="F48" i="1" s="1"/>
  <c r="G17" i="7"/>
  <c r="E17" i="7"/>
  <c r="E13" i="7"/>
  <c r="G10" i="7"/>
  <c r="E10" i="7"/>
  <c r="C9" i="7"/>
  <c r="G8" i="7"/>
  <c r="E8" i="7"/>
  <c r="G7" i="7"/>
  <c r="E7" i="7"/>
  <c r="C6" i="7"/>
  <c r="C11" i="7" s="1"/>
  <c r="G5" i="7"/>
  <c r="E5" i="7"/>
  <c r="G4" i="7"/>
  <c r="E4" i="7"/>
  <c r="E6" i="7" s="1"/>
  <c r="E9" i="7" l="1"/>
  <c r="E11" i="7" s="1"/>
  <c r="G6" i="7"/>
  <c r="C16" i="7"/>
  <c r="G9" i="7"/>
  <c r="G11" i="7" s="1"/>
  <c r="G16" i="7" s="1"/>
  <c r="E16" i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3" i="4"/>
  <c r="E16" i="7" l="1"/>
  <c r="E15" i="7"/>
  <c r="E14" i="7"/>
  <c r="D10" i="7"/>
  <c r="D6" i="7"/>
  <c r="D9" i="7"/>
  <c r="D20" i="2"/>
  <c r="E20" i="2"/>
  <c r="F20" i="2"/>
  <c r="G20" i="2"/>
  <c r="H20" i="2"/>
  <c r="I20" i="2"/>
  <c r="J20" i="2"/>
  <c r="K20" i="2"/>
  <c r="L20" i="2"/>
  <c r="M20" i="2"/>
  <c r="C20" i="2"/>
  <c r="F6" i="7" l="1"/>
  <c r="F10" i="7"/>
  <c r="F9" i="7"/>
  <c r="G16" i="3"/>
  <c r="H9" i="7" l="1"/>
  <c r="H6" i="7"/>
  <c r="H10" i="7"/>
  <c r="G12" i="7"/>
  <c r="I13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20" i="7" s="1"/>
  <c r="I18" i="7" s="1"/>
  <c r="I4" i="3" l="1"/>
  <c r="D4" i="3"/>
  <c r="D6" i="1"/>
  <c r="E9" i="3"/>
  <c r="C3" i="7" l="1"/>
  <c r="C28" i="4"/>
  <c r="C3" i="4" l="1"/>
  <c r="E3" i="7"/>
  <c r="C15" i="4"/>
  <c r="B3" i="4"/>
  <c r="C17" i="4" s="1"/>
  <c r="C13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C15" i="7" l="1"/>
  <c r="C20" i="7" s="1"/>
  <c r="C23" i="7" s="1"/>
  <c r="C14" i="7"/>
  <c r="D3" i="4"/>
  <c r="G3" i="7"/>
  <c r="E3" i="4" s="1"/>
  <c r="C58" i="3"/>
  <c r="B3" i="7"/>
  <c r="E12" i="7"/>
  <c r="C4" i="4" l="1"/>
  <c r="C7" i="4" s="1"/>
  <c r="C8" i="4" s="1"/>
  <c r="C9" i="4" s="1"/>
  <c r="C10" i="4" s="1"/>
  <c r="C22" i="7"/>
  <c r="I32" i="3"/>
  <c r="C18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20" i="7" l="1"/>
  <c r="E21" i="7" s="1"/>
  <c r="E23" i="7" s="1"/>
  <c r="E22" i="7" s="1"/>
  <c r="G13" i="7"/>
  <c r="G15" i="7" s="1"/>
  <c r="D52" i="3"/>
  <c r="C20" i="4" s="1"/>
  <c r="D20" i="4" s="1"/>
  <c r="I53" i="3"/>
  <c r="C7" i="1"/>
  <c r="C44" i="3"/>
  <c r="C25" i="3"/>
  <c r="I7" i="3" s="1"/>
  <c r="E19" i="7" l="1"/>
  <c r="G20" i="7"/>
  <c r="G18" i="7" s="1"/>
  <c r="D4" i="4"/>
  <c r="E18" i="7"/>
  <c r="C45" i="3"/>
  <c r="E12" i="3"/>
  <c r="G19" i="7" l="1"/>
  <c r="I19" i="7"/>
  <c r="I3" i="7" s="1"/>
  <c r="F3" i="4" s="1"/>
  <c r="G4" i="4" s="1"/>
  <c r="B24" i="4" s="1"/>
  <c r="G2" i="4" s="1"/>
  <c r="G21" i="7"/>
  <c r="I21" i="7" s="1"/>
  <c r="I23" i="7" s="1"/>
  <c r="D7" i="4"/>
  <c r="D8" i="4" s="1"/>
  <c r="D9" i="4" s="1"/>
  <c r="D10" i="4" s="1"/>
  <c r="D5" i="4"/>
  <c r="D53" i="5"/>
  <c r="G23" i="7" l="1"/>
  <c r="E4" i="4" s="1"/>
  <c r="F4" i="4"/>
  <c r="I22" i="7"/>
  <c r="E35" i="3"/>
  <c r="G22" i="7" l="1"/>
  <c r="F8" i="4"/>
  <c r="F9" i="4" s="1"/>
  <c r="F5" i="4"/>
  <c r="E7" i="4"/>
  <c r="E8" i="4" s="1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G19" i="4" s="1"/>
  <c r="D49" i="3"/>
  <c r="D6" i="3"/>
  <c r="D7" i="3" s="1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E5" i="5"/>
  <c r="C29" i="4" l="1"/>
  <c r="F14" i="1" s="1"/>
  <c r="D14" i="1" l="1"/>
  <c r="F46" i="1" s="1"/>
  <c r="C32" i="4"/>
  <c r="H14" i="1" s="1"/>
  <c r="J25" i="1" s="1"/>
  <c r="D29" i="4"/>
  <c r="F49" i="1" l="1"/>
  <c r="E50" i="1" s="1"/>
  <c r="F50" i="1" s="1"/>
  <c r="E49" i="1"/>
  <c r="F32" i="4"/>
  <c r="D16" i="1"/>
  <c r="B17" i="1"/>
  <c r="J17" i="1" s="1"/>
  <c r="D18" i="1"/>
  <c r="E32" i="4"/>
  <c r="D17" i="1" l="1"/>
  <c r="F17" i="1"/>
</calcChain>
</file>

<file path=xl/sharedStrings.xml><?xml version="1.0" encoding="utf-8"?>
<sst xmlns="http://schemas.openxmlformats.org/spreadsheetml/2006/main" count="413" uniqueCount="348">
  <si>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</si>
  <si>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</si>
  <si>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</si>
  <si>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</si>
  <si>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</si>
  <si>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</si>
  <si>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</si>
  <si>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</si>
  <si>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</si>
  <si>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</si>
  <si>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</si>
  <si>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</si>
  <si>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</si>
  <si>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</si>
  <si>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</si>
  <si>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</si>
  <si>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</si>
  <si>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</si>
  <si>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</si>
  <si>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</si>
  <si>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</si>
  <si>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</si>
  <si>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</si>
  <si>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</si>
  <si>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</si>
  <si>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</si>
  <si>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</si>
  <si>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</si>
  <si>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</si>
  <si>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</si>
  <si>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</si>
  <si>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</si>
  <si>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</si>
  <si>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</si>
  <si>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</si>
  <si>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</si>
  <si>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</si>
  <si>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</si>
  <si>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</si>
  <si>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</si>
  <si>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</si>
  <si>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</si>
  <si>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</si>
  <si>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</si>
  <si>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</si>
  <si>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</si>
  <si>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</si>
  <si>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</si>
  <si>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</si>
  <si>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</si>
  <si>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</si>
  <si>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</si>
  <si>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</si>
  <si>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</si>
  <si>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</si>
  <si>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</si>
  <si>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</si>
  <si>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</si>
  <si>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</si>
  <si>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</si>
  <si>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</si>
  <si>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</si>
  <si>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</si>
  <si>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</si>
  <si>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</si>
  <si>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</si>
  <si>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</si>
  <si>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</si>
  <si>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</si>
  <si>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</si>
  <si>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</si>
  <si>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</si>
  <si>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</si>
  <si>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</si>
  <si>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</si>
  <si>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</si>
  <si>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</si>
  <si>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</si>
  <si>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</si>
  <si>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</si>
  <si>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</si>
  <si>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</si>
  <si>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</si>
  <si>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</si>
  <si>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</si>
  <si>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</si>
  <si>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</si>
  <si>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</si>
  <si>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</si>
  <si>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</si>
  <si>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</si>
  <si>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</si>
  <si>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</si>
  <si>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</si>
  <si>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</si>
  <si>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</si>
  <si>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</si>
  <si>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</si>
  <si>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</si>
  <si>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</si>
  <si>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</si>
  <si>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</si>
  <si>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</si>
  <si>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</si>
  <si>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</si>
  <si>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</si>
  <si>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</si>
  <si>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</si>
  <si>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</si>
  <si>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</si>
  <si>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</si>
  <si>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</si>
  <si>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</si>
  <si>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</si>
  <si>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</si>
  <si>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</si>
  <si>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</si>
  <si>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</si>
  <si>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</si>
  <si>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</si>
  <si>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</si>
  <si>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</si>
  <si>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</si>
  <si>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</si>
  <si>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</si>
  <si>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</si>
  <si>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</si>
  <si>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</si>
  <si>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</si>
  <si>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</si>
  <si>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</si>
  <si>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</si>
  <si>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</si>
  <si>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</si>
  <si>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</si>
  <si>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</si>
  <si>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</si>
  <si>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</si>
  <si>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</si>
  <si>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</si>
  <si>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</si>
  <si>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</si>
  <si>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</si>
  <si>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</si>
  <si>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</si>
  <si>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</si>
  <si>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</si>
  <si>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</si>
  <si>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</si>
  <si>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</si>
  <si>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</si>
  <si>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</si>
  <si>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</si>
  <si>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</si>
  <si>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</si>
  <si>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</si>
  <si>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</si>
  <si>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</si>
  <si>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</si>
  <si>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</si>
  <si>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</si>
  <si>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</si>
  <si>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</si>
  <si>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</si>
  <si>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</si>
  <si>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</si>
  <si>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</si>
  <si>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</si>
  <si>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</si>
  <si>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</si>
  <si>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</si>
  <si>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</si>
  <si>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</si>
  <si>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</si>
  <si>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</si>
  <si>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</si>
  <si>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</si>
  <si>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</si>
  <si>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</si>
  <si>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</si>
  <si>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</si>
  <si>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</si>
  <si>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</si>
  <si>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</si>
  <si>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</si>
  <si>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</si>
  <si>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</si>
  <si>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</si>
  <si>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</si>
  <si>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</si>
  <si>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</si>
  <si>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</si>
  <si>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</si>
  <si>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</si>
  <si>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</si>
  <si>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</si>
  <si>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</si>
  <si>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</si>
  <si>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</si>
  <si>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</si>
  <si>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</si>
  <si>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</si>
  <si>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</si>
  <si>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</si>
  <si>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</si>
  <si>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</si>
  <si>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</si>
  <si>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</si>
  <si>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</si>
  <si>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</si>
  <si>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</si>
  <si>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</si>
  <si>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</si>
  <si>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</si>
  <si>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</si>
  <si>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</si>
  <si>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</si>
  <si>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</si>
  <si>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</si>
  <si>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</si>
  <si>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</si>
  <si>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</si>
  <si>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</si>
  <si>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</si>
  <si>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</si>
  <si>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</si>
  <si>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</si>
  <si>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</si>
  <si>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</si>
  <si>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</si>
  <si>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</si>
  <si>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</si>
  <si>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</si>
  <si>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</si>
  <si>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</si>
  <si>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</si>
  <si>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</si>
  <si>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</si>
  <si>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</si>
  <si>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</si>
  <si>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</si>
  <si>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</si>
  <si>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</si>
  <si>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</si>
  <si>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</si>
  <si>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</si>
  <si>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</si>
  <si>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</si>
  <si>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</si>
  <si>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</si>
  <si>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</si>
  <si>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</si>
  <si>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</si>
  <si>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</si>
  <si>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</si>
  <si>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</si>
  <si>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</si>
  <si>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</si>
  <si>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</si>
  <si>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</si>
  <si>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</si>
  <si>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</si>
  <si>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</si>
  <si>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</si>
  <si>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</si>
  <si>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</si>
  <si>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</si>
  <si>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</si>
  <si>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</si>
  <si>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</si>
  <si>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</si>
  <si>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</si>
  <si>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</si>
  <si>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</si>
  <si>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</si>
  <si>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</si>
  <si>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</si>
  <si>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</si>
  <si>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</si>
  <si>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</si>
  <si>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</si>
  <si>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</si>
  <si>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</si>
  <si>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</si>
  <si>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</si>
  <si>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</si>
  <si>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</si>
  <si>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</si>
  <si>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</si>
  <si>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</si>
  <si>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</si>
  <si>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</si>
  <si>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</si>
  <si>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</si>
  <si>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</si>
  <si>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</si>
  <si>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</si>
  <si>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</si>
  <si>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</si>
  <si>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</si>
  <si>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</si>
  <si>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</si>
  <si>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</si>
  <si>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</si>
  <si>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</si>
  <si>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</si>
  <si>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</si>
  <si>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</si>
  <si>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</si>
  <si>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0683.HK</t>
  </si>
  <si>
    <t>KERRY PPT</t>
  </si>
  <si>
    <t>低估值的中国房地产开发商</t>
  </si>
  <si>
    <t xml:space="preserve">Asset Plays </t>
  </si>
  <si>
    <t>1. Balance sheet is strong despite a cash liquidity need
2. Market price is low compared to the realizable assets</t>
  </si>
  <si>
    <t>1. 物业销售曾是最大收入来源，现在在低谷
2. Property value is likely to exceed inflation in the long run especially after a debt crisis and the future monetary easing</t>
  </si>
  <si>
    <t>1. There is a lack of Cash in the balance sheet
2. 2/3 of the business is in Mainland China, with high volatility in RE</t>
  </si>
  <si>
    <t>1. The room for profitable reinvestment is small
2. Organic growth rate will be low due to uncertainty</t>
  </si>
  <si>
    <t>內地</t>
  </si>
  <si>
    <t>香港</t>
  </si>
  <si>
    <t>1. 物業租務及其他</t>
  </si>
  <si>
    <t>2. 物業銷售</t>
  </si>
  <si>
    <t>3. 內地酒店營運</t>
  </si>
  <si>
    <t>High uncertainty at the moment in China mainland real estate</t>
  </si>
  <si>
    <t>Too many different assets</t>
  </si>
  <si>
    <t>Real estate recovery is uncertain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</si>
  <si>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</si>
  <si>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</si>
  <si>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</si>
  <si>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</si>
  <si>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</si>
  <si>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</si>
  <si>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</si>
  <si>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</si>
  <si>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</si>
  <si>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</si>
  <si>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</si>
  <si>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</si>
  <si>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</si>
  <si>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</si>
  <si>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4. The probability of a recession affecting the company</t>
  </si>
  <si>
    <t>60% chance of chinese recession</t>
  </si>
  <si>
    <t>5. Is the upside very attractive?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</si>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</sst>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29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F51" sqref="F51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6" t="str">
        <f>C3&amp;" : "&amp;C4</f>
        <v>0683.HK : KERRY PPT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3" t="s">
        <v>309</v>
      </c>
      <c r="D3" s="384"/>
      <c r="E3" s="15"/>
      <c r="G3" s="7" t="s">
        <v>2</v>
      </c>
      <c r="I3" s="393" t="s">
        <v>3</v>
      </c>
      <c r="J3" s="394"/>
    </row>
    <row r="4" spans="1:12" ht="15.75" customHeight="1" x14ac:dyDescent="0.3">
      <c r="B4" s="5" t="s">
        <v>4</v>
      </c>
      <c r="C4" s="385" t="s">
        <v>310</v>
      </c>
      <c r="D4" s="386"/>
      <c r="E4" s="6"/>
      <c r="G4" s="5" t="s">
        <v>5</v>
      </c>
      <c r="I4" s="32">
        <v>20</v>
      </c>
      <c r="J4" s="33" t="s">
        <v>6</v>
      </c>
      <c r="K4" s="152"/>
    </row>
    <row r="5" spans="1:12" ht="15.75" customHeight="1" x14ac:dyDescent="0.3">
      <c r="B5" s="5" t="s">
        <v>7</v>
      </c>
      <c r="C5" s="387">
        <v>44956</v>
      </c>
      <c r="D5" s="386"/>
      <c r="E5" s="122" t="str">
        <f ca="1">IF(C5+30&gt;=TODAY(),"Patience Premium","")</f>
        <v/>
      </c>
      <c r="G5" s="5" t="s">
        <v>8</v>
      </c>
      <c r="I5" s="395">
        <v>1451309952</v>
      </c>
      <c r="J5" s="396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49">
        <f>Data!C3</f>
        <v>44561</v>
      </c>
      <c r="G6" s="134" t="s">
        <v>9</v>
      </c>
      <c r="H6" s="133"/>
      <c r="I6" s="397">
        <f>I4*I5/1000000</f>
        <v>29026.19904</v>
      </c>
      <c r="J6" s="398"/>
      <c r="K6" s="151"/>
    </row>
    <row r="7" spans="1:12" ht="15.75" customHeight="1" x14ac:dyDescent="0.3">
      <c r="B7" s="139" t="s">
        <v>10</v>
      </c>
      <c r="C7" s="145">
        <f>(Data!C39)/I4</f>
        <v>0.1831528128320862</v>
      </c>
      <c r="D7" s="145">
        <f>(Data!C40)/I4</f>
        <v>1.3917082269136124E-3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299"/>
      <c r="D9" s="297"/>
      <c r="E9" s="5"/>
      <c r="G9" s="5" t="s">
        <v>13</v>
      </c>
      <c r="I9" s="121">
        <f>IF(Data!F3&lt;=0,"NNI",I4/((Data!F3*I12)/(I5/Data!C4)))</f>
        <v>2.8022946722107172</v>
      </c>
      <c r="J9" s="48">
        <f>IF(I9="NNI","NNI",1/I9)</f>
        <v>0.35685040902964882</v>
      </c>
    </row>
    <row r="10" spans="1:12" ht="15.75" customHeight="1" x14ac:dyDescent="0.3">
      <c r="B10" s="3" t="s">
        <v>274</v>
      </c>
      <c r="C10" s="298" t="s">
        <v>275</v>
      </c>
      <c r="D10" s="298">
        <v>2.8999999999999998E-2</v>
      </c>
      <c r="E10" s="5"/>
      <c r="G10" s="5" t="s">
        <v>14</v>
      </c>
      <c r="I10" s="138">
        <f>I4/(Data!C28*I12*Data!C4/Common_Shares)</f>
        <v>0.21937505308430244</v>
      </c>
      <c r="J10" s="130">
        <f>IF(Asset_Model!D60/'FCFF Model'!C4&lt;0,"Negative EV",Asset_Model!D60/'FCFF Model'!C4)</f>
        <v>0.47609076001414941</v>
      </c>
    </row>
    <row r="11" spans="1:12" ht="15.75" customHeight="1" thickBot="1" x14ac:dyDescent="0.35">
      <c r="B11" s="311" t="s">
        <v>278</v>
      </c>
      <c r="C11" s="407">
        <f ca="1">C12-D10</f>
        <v>5.1000000000000004E-2</v>
      </c>
      <c r="D11" s="408"/>
      <c r="E11" s="13"/>
      <c r="G11" s="5" t="s">
        <v>15</v>
      </c>
      <c r="H11" s="6"/>
      <c r="I11" s="405" t="s">
        <v>6</v>
      </c>
      <c r="J11" s="406"/>
    </row>
    <row r="12" spans="1:12" ht="15.75" customHeight="1" thickTop="1" x14ac:dyDescent="0.3">
      <c r="B12" s="312" t="s">
        <v>150</v>
      </c>
      <c r="C12" s="361">
        <f ca="1">IF(C10="CN",8%,6%)*IF($C$5+30&gt;=TODAY(),1.2,1)</f>
        <v>0.08</v>
      </c>
      <c r="D12" s="362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15.177942172348047</v>
      </c>
      <c r="E14" s="127" t="s">
        <v>234</v>
      </c>
      <c r="F14" s="184">
        <f ca="1">MAX('FCFF Model'!C29,'FCFF Model'!E29)</f>
        <v>20.816330621780622</v>
      </c>
      <c r="G14" s="185" t="s">
        <v>24</v>
      </c>
      <c r="H14" s="193">
        <f ca="1">IF('FCFF Model'!C32&lt;0, "Error", 'FCFF Model'!C32)</f>
        <v>18.627667404704535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20</v>
      </c>
      <c r="C16" s="371">
        <v>0.1</v>
      </c>
      <c r="D16" s="159">
        <f ca="1">H14/B16-1-C16</f>
        <v>-0.16861662976477323</v>
      </c>
      <c r="E16" s="366">
        <f>'FCFF Model'!D11*Exchange_Rate</f>
        <v>1.35</v>
      </c>
      <c r="F16" s="161">
        <f>E16/B16</f>
        <v>6.7500000000000004E-2</v>
      </c>
      <c r="G16" s="374" t="s">
        <v>25</v>
      </c>
      <c r="H16" s="399">
        <f>('FCFF Model'!G19)*Exchange_Rate</f>
        <v>5.9489088537580672</v>
      </c>
      <c r="I16" s="374" t="s">
        <v>26</v>
      </c>
      <c r="J16" s="206">
        <f>B16-$H$16</f>
        <v>14.051091146241934</v>
      </c>
    </row>
    <row r="17" spans="1:10" ht="15.75" customHeight="1" x14ac:dyDescent="0.3">
      <c r="B17" s="290">
        <f ca="1">H14/(1+C16)</f>
        <v>16.934243095185941</v>
      </c>
      <c r="C17" s="372"/>
      <c r="D17" s="289">
        <f ca="1">H14/B17-1-C16</f>
        <v>0</v>
      </c>
      <c r="E17" s="367"/>
      <c r="F17" s="162">
        <f ca="1">E16/B17</f>
        <v>7.9720126397841623E-2</v>
      </c>
      <c r="G17" s="375"/>
      <c r="H17" s="400"/>
      <c r="I17" s="375"/>
      <c r="J17" s="205">
        <f ca="1">B17-$H$16</f>
        <v>10.985334241427875</v>
      </c>
    </row>
    <row r="18" spans="1:10" ht="15.75" customHeight="1" x14ac:dyDescent="0.3">
      <c r="B18" s="350">
        <f>C35</f>
        <v>16.5</v>
      </c>
      <c r="C18" s="373"/>
      <c r="D18" s="160">
        <f ca="1">H14/B18-1-C16</f>
        <v>2.8949539679062747E-2</v>
      </c>
      <c r="E18" s="368"/>
      <c r="F18" s="163">
        <f>E16/B18</f>
        <v>8.1818181818181818E-2</v>
      </c>
      <c r="G18" s="376"/>
      <c r="H18" s="401"/>
      <c r="I18" s="376"/>
      <c r="J18" s="207">
        <f>B18-$H$16</f>
        <v>10.551091146241934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0" t="s">
        <v>311</v>
      </c>
      <c r="D21" s="391"/>
      <c r="E21" s="391"/>
      <c r="F21" s="391"/>
      <c r="G21" s="391"/>
      <c r="H21" s="391"/>
      <c r="I21" s="391"/>
      <c r="J21" s="392"/>
    </row>
    <row r="22" spans="1:10" ht="52.5" customHeight="1" x14ac:dyDescent="0.3">
      <c r="A22" s="6"/>
      <c r="B22" s="24" t="s">
        <v>29</v>
      </c>
      <c r="C22" s="403" t="s">
        <v>313</v>
      </c>
      <c r="D22" s="404"/>
      <c r="E22" s="404"/>
      <c r="F22" s="404"/>
      <c r="G22" s="403" t="s">
        <v>315</v>
      </c>
      <c r="H22" s="403"/>
      <c r="I22" s="404"/>
      <c r="J22" s="404"/>
    </row>
    <row r="23" spans="1:10" ht="52.5" customHeight="1" x14ac:dyDescent="0.3">
      <c r="A23" s="6"/>
      <c r="B23" s="25" t="s">
        <v>30</v>
      </c>
      <c r="C23" s="369" t="s">
        <v>314</v>
      </c>
      <c r="D23" s="370"/>
      <c r="E23" s="370"/>
      <c r="F23" s="370"/>
      <c r="G23" s="369" t="s">
        <v>316</v>
      </c>
      <c r="H23" s="369"/>
      <c r="I23" s="370"/>
      <c r="J23" s="370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328</v>
      </c>
      <c r="G25" s="12"/>
      <c r="H25" s="351">
        <v>0.15</v>
      </c>
      <c r="I25" s="30" t="s">
        <v>329</v>
      </c>
      <c r="J25" s="352">
        <f ca="1">H14/(H25+C16+1)</f>
        <v>14.902133923763628</v>
      </c>
    </row>
    <row r="26" spans="1:10" ht="15.75" customHeight="1" x14ac:dyDescent="0.3">
      <c r="B26" s="23" t="s">
        <v>33</v>
      </c>
      <c r="C26" s="388"/>
      <c r="D26" s="389"/>
      <c r="E26" s="380" t="str">
        <f>IF(C26="","","Action_Planning")</f>
        <v/>
      </c>
      <c r="F26" s="381"/>
      <c r="G26" s="381"/>
      <c r="H26" s="382"/>
      <c r="I26" s="402" t="s">
        <v>34</v>
      </c>
      <c r="J26" s="402"/>
    </row>
    <row r="27" spans="1:10" ht="15.75" customHeight="1" x14ac:dyDescent="0.3">
      <c r="B27" s="23" t="s">
        <v>35</v>
      </c>
      <c r="C27" s="365">
        <f>C31/D25</f>
        <v>0.11</v>
      </c>
      <c r="D27" s="364"/>
      <c r="E27" s="363">
        <f>E31/D25</f>
        <v>0</v>
      </c>
      <c r="F27" s="364"/>
      <c r="G27" s="378">
        <f>G31/D25</f>
        <v>0</v>
      </c>
      <c r="H27" s="379"/>
      <c r="I27" s="377">
        <f>C27+E27+G27</f>
        <v>0.11</v>
      </c>
      <c r="J27" s="377"/>
    </row>
    <row r="28" spans="1:10" ht="15.75" customHeight="1" x14ac:dyDescent="0.3">
      <c r="B28" s="23" t="s">
        <v>36</v>
      </c>
      <c r="C28" s="413">
        <v>4000</v>
      </c>
      <c r="D28" s="404"/>
      <c r="E28" s="413"/>
      <c r="F28" s="404"/>
      <c r="G28" s="395"/>
      <c r="H28" s="396"/>
      <c r="I28" s="412">
        <f>C28+E28+G28</f>
        <v>4000</v>
      </c>
      <c r="J28" s="412"/>
    </row>
    <row r="29" spans="1:10" ht="15.75" customHeight="1" x14ac:dyDescent="0.3">
      <c r="B29" s="23" t="s">
        <v>37</v>
      </c>
      <c r="C29" s="414">
        <v>16.5</v>
      </c>
      <c r="D29" s="404"/>
      <c r="E29" s="414"/>
      <c r="F29" s="404"/>
      <c r="G29" s="424"/>
      <c r="H29" s="425"/>
      <c r="I29" s="409"/>
      <c r="J29" s="409"/>
    </row>
    <row r="30" spans="1:10" ht="15.75" customHeight="1" x14ac:dyDescent="0.3">
      <c r="B30" s="23" t="s">
        <v>38</v>
      </c>
      <c r="C30" s="415">
        <f>C29*$I$5/1000000</f>
        <v>23946.614207999999</v>
      </c>
      <c r="D30" s="416"/>
      <c r="E30" s="415">
        <f>E29*$I$5/1000000</f>
        <v>0</v>
      </c>
      <c r="F30" s="416"/>
      <c r="G30" s="432">
        <f>G29*$I$5/1000000</f>
        <v>0</v>
      </c>
      <c r="H30" s="433"/>
      <c r="I30" s="410"/>
      <c r="J30" s="410"/>
    </row>
    <row r="31" spans="1:10" ht="15.75" customHeight="1" x14ac:dyDescent="0.3">
      <c r="B31" s="2" t="s">
        <v>39</v>
      </c>
      <c r="C31" s="419">
        <f>C28*C29</f>
        <v>66000</v>
      </c>
      <c r="D31" s="420"/>
      <c r="E31" s="411">
        <f>E28*E29</f>
        <v>0</v>
      </c>
      <c r="F31" s="421"/>
      <c r="G31" s="434">
        <f>G28*G29</f>
        <v>0</v>
      </c>
      <c r="H31" s="435"/>
      <c r="I31" s="411">
        <f>C31+E31+G31</f>
        <v>66000</v>
      </c>
      <c r="J31" s="411"/>
    </row>
    <row r="32" spans="1:10" ht="15.75" customHeight="1" x14ac:dyDescent="0.3">
      <c r="B32" s="1" t="s">
        <v>40</v>
      </c>
      <c r="C32" s="417"/>
      <c r="D32" s="418"/>
      <c r="E32" s="422">
        <f>IF(C31=0,"-",(C31+E31)/(C28+E28))</f>
        <v>16.5</v>
      </c>
      <c r="F32" s="364"/>
      <c r="G32" s="117"/>
      <c r="H32" s="117"/>
      <c r="I32" s="422">
        <f>IF(I31=0,"",I31/I28)</f>
        <v>16.5</v>
      </c>
      <c r="J32" s="422"/>
    </row>
    <row r="33" spans="2:10" ht="15.75" customHeight="1" x14ac:dyDescent="0.3">
      <c r="B33" s="1" t="s">
        <v>41</v>
      </c>
      <c r="C33" s="430"/>
      <c r="D33" s="431"/>
      <c r="E33" s="415">
        <f>IF(E32="-","-",E32*$I$5/1000000)</f>
        <v>23946.614207999999</v>
      </c>
      <c r="F33" s="416"/>
      <c r="G33" s="118"/>
      <c r="H33" s="118"/>
      <c r="I33" s="415">
        <f>IF(I32="","",I32*$I$5/1000000)</f>
        <v>23946.614207999999</v>
      </c>
      <c r="J33" s="415"/>
    </row>
    <row r="34" spans="2:10" ht="15.75" customHeight="1" x14ac:dyDescent="0.3"/>
    <row r="35" spans="2:10" ht="15.75" customHeight="1" x14ac:dyDescent="0.3">
      <c r="B35" s="146" t="s">
        <v>325</v>
      </c>
      <c r="C35" s="426">
        <f>C29</f>
        <v>16.5</v>
      </c>
      <c r="D35" s="427"/>
      <c r="G35" s="428" t="s">
        <v>326</v>
      </c>
      <c r="H35" s="429"/>
      <c r="I35" s="426">
        <v>19</v>
      </c>
      <c r="J35" s="427"/>
    </row>
    <row r="36" spans="2:10" ht="15.75" customHeight="1" x14ac:dyDescent="0.3">
      <c r="B36" s="146" t="s">
        <v>327</v>
      </c>
      <c r="C36" s="413">
        <f>C28</f>
        <v>4000</v>
      </c>
      <c r="D36" s="423"/>
      <c r="G36" s="436" t="s">
        <v>333</v>
      </c>
      <c r="H36" s="436"/>
      <c r="I36" s="437">
        <f>IF(C26="",0,I35/C29-1)</f>
        <v>0</v>
      </c>
      <c r="J36" s="438"/>
    </row>
    <row r="37" spans="2:10" ht="15.75" customHeight="1" x14ac:dyDescent="0.3"/>
    <row r="38" spans="2:10" ht="15.75" customHeight="1" x14ac:dyDescent="0.3">
      <c r="B38" s="21" t="s">
        <v>334</v>
      </c>
      <c r="G38" s="344" t="s">
        <v>141</v>
      </c>
      <c r="H38" s="133"/>
      <c r="I38" s="133"/>
      <c r="J38" s="133"/>
    </row>
    <row r="39" spans="2:10" ht="15.75" customHeight="1" x14ac:dyDescent="0.3">
      <c r="B39" s="3" t="s">
        <v>335</v>
      </c>
      <c r="F39" s="214">
        <f>'Qualitative Analysis'!E8</f>
        <v>0.51</v>
      </c>
      <c r="G39" s="353"/>
      <c r="H39" s="116"/>
      <c r="I39" s="116"/>
      <c r="J39" s="116"/>
    </row>
    <row r="40" spans="2:10" ht="15.75" customHeight="1" x14ac:dyDescent="0.3">
      <c r="B40" s="3" t="s">
        <v>336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3">
      <c r="B41" s="3" t="s">
        <v>337</v>
      </c>
      <c r="E41" s="354"/>
      <c r="F41" s="355">
        <f>'Qualitative Analysis'!E64</f>
        <v>0.61182823129251696</v>
      </c>
      <c r="G41" s="353" t="s">
        <v>338</v>
      </c>
      <c r="H41" s="116"/>
      <c r="I41" s="116"/>
      <c r="J41" s="116"/>
    </row>
    <row r="42" spans="2:10" ht="15.75" customHeight="1" x14ac:dyDescent="0.3">
      <c r="B42" s="3" t="s">
        <v>339</v>
      </c>
      <c r="E42" s="354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340</v>
      </c>
      <c r="H42" s="74"/>
      <c r="I42" s="74"/>
      <c r="J42" s="74"/>
    </row>
    <row r="43" spans="2:10" ht="15.75" customHeight="1" x14ac:dyDescent="0.3">
      <c r="B43" s="3" t="s">
        <v>341</v>
      </c>
      <c r="F43" s="356">
        <v>0.6</v>
      </c>
      <c r="G43" s="116"/>
      <c r="H43" s="116"/>
      <c r="I43" s="116"/>
      <c r="J43" s="116"/>
    </row>
    <row r="44" spans="2:10" ht="15.75" customHeight="1" x14ac:dyDescent="0.3"/>
    <row r="45" spans="2:10" ht="15.75" customHeight="1" x14ac:dyDescent="0.3">
      <c r="B45" s="3" t="s">
        <v>342</v>
      </c>
      <c r="F45" s="355">
        <f>I35/C29-1</f>
        <v>0.1515151515151516</v>
      </c>
    </row>
    <row r="46" spans="2:10" ht="15.75" customHeight="1" x14ac:dyDescent="0.3">
      <c r="B46" s="3" t="s">
        <v>343</v>
      </c>
      <c r="F46" s="355">
        <f ca="1">D14/C29-1</f>
        <v>-8.0124716827391085E-2</v>
      </c>
    </row>
    <row r="47" spans="2:10" ht="15.75" customHeight="1" x14ac:dyDescent="0.3"/>
    <row r="48" spans="2:10" ht="15.75" customHeight="1" x14ac:dyDescent="0.3">
      <c r="B48" s="3" t="s">
        <v>344</v>
      </c>
      <c r="F48" s="214">
        <f>IF(F45&lt;=0,0,AVERAGE(F39:F41,1-F43,E42))</f>
        <v>0.56436564625850338</v>
      </c>
      <c r="G48" s="74"/>
    </row>
    <row r="49" spans="2:8" ht="15.75" customHeight="1" x14ac:dyDescent="0.3">
      <c r="B49" s="3" t="s">
        <v>345</v>
      </c>
      <c r="E49" s="357">
        <f ca="1">F45/ABS(F46)</f>
        <v>1.8909914133182346</v>
      </c>
      <c r="F49" s="358">
        <f ca="1">IF(F46&gt;=0,100,F45/ABS(F46))</f>
        <v>1.8909914133182346</v>
      </c>
      <c r="G49" s="74"/>
    </row>
    <row r="50" spans="2:8" ht="15.75" customHeight="1" x14ac:dyDescent="0.3">
      <c r="B50" s="3" t="s">
        <v>346</v>
      </c>
      <c r="E50" s="107">
        <f ca="1">MAX(F48-ABS((1-F48)/F49),0)/2</f>
        <v>0.16699606165764269</v>
      </c>
      <c r="F50" s="359">
        <f ca="1">MIN(E50,H50)</f>
        <v>0.16699606165764269</v>
      </c>
      <c r="G50" s="360" t="s">
        <v>347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9" priority="15" operator="lessThan">
      <formula>0</formula>
    </cfRule>
  </conditionalFormatting>
  <conditionalFormatting sqref="E26:H26">
    <cfRule type="containsBlanks" dxfId="18" priority="3">
      <formula>LEN(TRIM(E26))=0</formula>
    </cfRule>
  </conditionalFormatting>
  <conditionalFormatting sqref="F49">
    <cfRule type="cellIs" dxfId="17" priority="1" operator="lessThan">
      <formula>1</formula>
    </cfRule>
  </conditionalFormatting>
  <conditionalFormatting sqref="H14">
    <cfRule type="cellIs" dxfId="16" priority="7" operator="greaterThan">
      <formula>$B$16</formula>
    </cfRule>
  </conditionalFormatting>
  <conditionalFormatting sqref="H16">
    <cfRule type="cellIs" dxfId="15" priority="10" operator="greaterThan">
      <formula>$B$16</formula>
    </cfRule>
  </conditionalFormatting>
  <conditionalFormatting sqref="I16">
    <cfRule type="cellIs" dxfId="14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F6B8245-3B4E-49E9-8AA3-051FA4D80382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16" zoomScaleNormal="100" workbookViewId="0">
      <selection activeCell="D35" sqref="D3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10358011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6739664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15326764</v>
      </c>
      <c r="D7" s="35">
        <v>14526102</v>
      </c>
      <c r="E7" s="35">
        <v>18025422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5.511884743753015E-2</v>
      </c>
      <c r="D8" s="14">
        <f t="shared" si="1"/>
        <v>-0.19413248688435703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6583757</v>
      </c>
      <c r="D9" s="35">
        <v>6139239</v>
      </c>
      <c r="E9" s="35">
        <v>9041440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0.57044050524950995</v>
      </c>
      <c r="D10" s="14">
        <f t="shared" si="2"/>
        <v>0.57736500817631597</v>
      </c>
      <c r="E10" s="14">
        <f t="shared" si="2"/>
        <v>0.49840619542776865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2003343</v>
      </c>
      <c r="D11" s="35">
        <v>1613699</v>
      </c>
      <c r="E11" s="35">
        <v>1602120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0.13070880454608685</v>
      </c>
      <c r="D12" s="14">
        <f t="shared" si="3"/>
        <v>0.11108960958693531</v>
      </c>
      <c r="E12" s="14">
        <f t="shared" si="3"/>
        <v>8.8881136874354505E-2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0.4397317007034231</v>
      </c>
      <c r="D13" s="14">
        <f t="shared" si="4"/>
        <v>0.46627539858938066</v>
      </c>
      <c r="E13" s="14">
        <f t="shared" si="4"/>
        <v>0.40952505855341415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6739664</v>
      </c>
      <c r="D14" s="27">
        <f t="shared" si="5"/>
        <v>6773164</v>
      </c>
      <c r="E14" s="27">
        <f t="shared" si="5"/>
        <v>7381862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-4.9459897914770701E-3</v>
      </c>
      <c r="D15" s="14">
        <f t="shared" ref="D15:M15" si="6">IF(E14="","",IF(ABS(D14+E14)=ABS(D14)+ABS(E14),IF(D14&lt;0,-1,1)*(D14-E14)/E14,"Turn"))</f>
        <v>-8.2458599198955498E-2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IF(C14="","",C14*(1-Operation!$D$21))</f>
        <v>6739664</v>
      </c>
      <c r="D16" s="143">
        <f>IF(D14="","",D14*(1-Operation!$D$21))</f>
        <v>6773164</v>
      </c>
      <c r="E16" s="143">
        <f>IF(E14="","",E14*(1-Operation!$D$21))</f>
        <v>7381862</v>
      </c>
      <c r="F16" s="143" t="str">
        <f>IF(F14="","",F14*(1-Operation!$D$21))</f>
        <v/>
      </c>
      <c r="G16" s="143" t="str">
        <f>IF(G14="","",G14*(1-Operation!$D$21))</f>
        <v/>
      </c>
      <c r="H16" s="143" t="str">
        <f>IF(H14="","",H14*(1-Operation!$D$21))</f>
        <v/>
      </c>
      <c r="I16" s="143" t="str">
        <f>IF(I14="","",I14*(1-Operation!$D$21))</f>
        <v/>
      </c>
      <c r="J16" s="143" t="str">
        <f>IF(J14="","",J14*(1-Operation!$D$21))</f>
        <v/>
      </c>
      <c r="K16" s="143" t="str">
        <f>IF(K14="","",K14*(1-Operation!$D$21))</f>
        <v/>
      </c>
      <c r="L16" s="143" t="str">
        <f>IF(L14="","",L14*(1-Operation!$D$21))</f>
        <v/>
      </c>
      <c r="M16" s="243" t="str">
        <f>IF(M14="","",M14*(1-Operation!$D$21))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0.4397317007034231</v>
      </c>
      <c r="D17" s="129">
        <f t="shared" si="7"/>
        <v>0.46627539858938066</v>
      </c>
      <c r="E17" s="129">
        <f t="shared" si="7"/>
        <v>0.40952505855341415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562656</v>
      </c>
      <c r="D18" s="144">
        <v>781715</v>
      </c>
      <c r="E18" s="144">
        <v>812565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10358011</v>
      </c>
      <c r="D19" s="35">
        <v>5403203</v>
      </c>
      <c r="E19" s="35">
        <v>6897450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0.91701311240758487</v>
      </c>
      <c r="D20" s="14">
        <f t="shared" ref="D20:M20" si="8">IF(E19="","",IF(ABS(D19+E19)=ABS(D19)+ABS(E19),IF(D19&lt;0,-1,1)*(D19-E19)/E19,"Turn"))</f>
        <v>-0.21663759795286663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52019578</v>
      </c>
      <c r="D21" s="35">
        <v>46824778</v>
      </c>
      <c r="E21" s="35">
        <v>30542596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22442764</v>
      </c>
      <c r="D22" s="35">
        <v>20617000</v>
      </c>
      <c r="E22" s="35">
        <v>19835482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5316310</v>
      </c>
      <c r="D23" s="35">
        <v>6964787</v>
      </c>
      <c r="E23" s="35">
        <v>8544578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48012</v>
      </c>
      <c r="D24" s="140">
        <v>52555</v>
      </c>
      <c r="E24" s="140">
        <v>50461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32210595</v>
      </c>
      <c r="D25" s="35">
        <v>37670707</v>
      </c>
      <c r="E25" s="35">
        <v>31147279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381</v>
      </c>
      <c r="D26" s="140">
        <v>48444</v>
      </c>
      <c r="E26" s="140">
        <v>99958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37526905</v>
      </c>
      <c r="D27" s="27">
        <f t="shared" si="9"/>
        <v>44635494</v>
      </c>
      <c r="E27" s="27">
        <f t="shared" si="9"/>
        <v>39691857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132313126</v>
      </c>
      <c r="D28" s="35">
        <v>124656340</v>
      </c>
      <c r="E28" s="35">
        <v>115383027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116828895</v>
      </c>
      <c r="D29" s="140">
        <v>109872537</v>
      </c>
      <c r="E29" s="140">
        <v>101704510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10474939</v>
      </c>
      <c r="D30" s="35">
        <v>21538970</v>
      </c>
      <c r="E30" s="35">
        <v>15235372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16476695</v>
      </c>
      <c r="D31" s="35">
        <v>15874948</v>
      </c>
      <c r="E31" s="35">
        <v>11701131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-1.0562382272584117</v>
      </c>
      <c r="D32" s="14">
        <f t="shared" si="10"/>
        <v>0.29266014113023975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120099.29999999999</v>
      </c>
      <c r="D33" s="248">
        <f>IF(E7="","",(D7-E7)*Asset_Model!$D$65)</f>
        <v>-524898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-10943931.699999999</v>
      </c>
      <c r="D34" s="143">
        <f>IF(E7="","",D30-E30+D33+IF($C$49="Yes",D51,0))</f>
        <v>5778700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0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-1.6238096884355064</v>
      </c>
      <c r="D35" s="239">
        <f t="shared" si="19"/>
        <v>0.85317585695547904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5316230</v>
      </c>
      <c r="D37" s="165">
        <v>1966277</v>
      </c>
      <c r="E37" s="165">
        <v>1965289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40396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3.663056256641724</v>
      </c>
      <c r="D39" s="170">
        <f t="shared" si="20"/>
        <v>1.3548291302559745</v>
      </c>
      <c r="E39" s="170">
        <f t="shared" si="20"/>
        <v>1.3541483659584248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2.7834164538272248E-2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0.24344217368124157</v>
      </c>
      <c r="D42" s="48">
        <f t="shared" ref="D42:M42" si="22">IF(D29="","",D25/D29)</f>
        <v>0.34285826129599611</v>
      </c>
      <c r="E42" s="48">
        <f t="shared" si="22"/>
        <v>0.30625268240316972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0.32121253051310639</v>
      </c>
      <c r="D43" s="14">
        <f t="shared" si="23"/>
        <v>0.40624795985187817</v>
      </c>
      <c r="E43" s="14">
        <f t="shared" si="23"/>
        <v>0.39026643951187612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0.17959551953458458</v>
      </c>
      <c r="D44" s="50">
        <f t="shared" si="24"/>
        <v>0.15174390138932931</v>
      </c>
      <c r="E44" s="50">
        <f t="shared" si="24"/>
        <v>0.18597925514041835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8.3484280521996343E-2</v>
      </c>
      <c r="D45" s="14">
        <f t="shared" si="25"/>
        <v>0.11541356447297009</v>
      </c>
      <c r="E45" s="14">
        <f t="shared" si="25"/>
        <v>0.11007588600274565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2.3178775127698175</v>
      </c>
      <c r="D46" s="51">
        <f t="shared" si="26"/>
        <v>2.2711732065770964</v>
      </c>
      <c r="E46" s="51">
        <f t="shared" si="26"/>
        <v>1.5397960079820596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39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6"/>
      <c r="D50" s="6"/>
      <c r="E50" s="336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7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38" t="s">
        <v>300</v>
      </c>
      <c r="C52" s="345" t="str">
        <f>IF(C51="","",C51/C7)</f>
        <v/>
      </c>
      <c r="D52" s="345" t="str">
        <f t="shared" ref="D52:M52" si="27">IF(D51="","",D51/D7)</f>
        <v/>
      </c>
      <c r="E52" s="345" t="str">
        <f t="shared" si="27"/>
        <v/>
      </c>
      <c r="F52" s="345" t="str">
        <f t="shared" si="27"/>
        <v/>
      </c>
      <c r="G52" s="345" t="str">
        <f t="shared" si="27"/>
        <v/>
      </c>
      <c r="H52" s="345" t="str">
        <f>IF(H51="","",H51/H7)</f>
        <v/>
      </c>
      <c r="I52" s="345" t="str">
        <f t="shared" si="27"/>
        <v/>
      </c>
      <c r="J52" s="345" t="str">
        <f t="shared" si="27"/>
        <v/>
      </c>
      <c r="K52" s="345" t="str">
        <f t="shared" si="27"/>
        <v/>
      </c>
      <c r="L52" s="345" t="str">
        <f t="shared" si="27"/>
        <v/>
      </c>
      <c r="M52" s="346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3" priority="1">
      <formula>$C$49="No"</formula>
    </cfRule>
  </conditionalFormatting>
  <conditionalFormatting sqref="C7:M35 D42:M46">
    <cfRule type="containsBlanks" dxfId="12" priority="3">
      <formula>LEN(TRIM(C7))=0</formula>
    </cfRule>
  </conditionalFormatting>
  <conditionalFormatting sqref="C37:M40">
    <cfRule type="containsBlanks" dxfId="11" priority="5">
      <formula>LEN(TRIM(C37))=0</formula>
    </cfRule>
  </conditionalFormatting>
  <conditionalFormatting sqref="D17:M18">
    <cfRule type="containsBlanks" dxfId="10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4" t="s">
        <v>141</v>
      </c>
    </row>
    <row r="3" spans="1:11" ht="15" customHeight="1" x14ac:dyDescent="0.3">
      <c r="B3" s="5" t="s">
        <v>259</v>
      </c>
      <c r="C3" s="6"/>
      <c r="D3" s="274">
        <v>128099808</v>
      </c>
      <c r="E3" s="156" t="str">
        <f>IF((C46-I46)=D3,"", "Error!")</f>
        <v/>
      </c>
      <c r="F3" s="6"/>
      <c r="G3" s="6"/>
      <c r="H3" s="275" t="s">
        <v>260</v>
      </c>
      <c r="I3" s="276">
        <v>113579020</v>
      </c>
      <c r="K3" s="74"/>
    </row>
    <row r="4" spans="1:11" ht="15" customHeight="1" x14ac:dyDescent="0.3">
      <c r="B4" s="5" t="s">
        <v>226</v>
      </c>
      <c r="C4" s="6"/>
      <c r="D4" s="277">
        <f>D3-I3</f>
        <v>14520788</v>
      </c>
      <c r="E4" s="150"/>
      <c r="F4" s="6"/>
      <c r="G4" s="6"/>
      <c r="H4" s="60" t="s">
        <v>82</v>
      </c>
      <c r="I4" s="91">
        <f>(I3*Dashboard!I12*Data!C4)/Dashboard!I5</f>
        <v>78.259657658572991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21138724.050000012</v>
      </c>
      <c r="E6" s="14">
        <f>1-D6/D3</f>
        <v>0.83498239084011727</v>
      </c>
      <c r="F6" s="6"/>
      <c r="G6" s="6"/>
      <c r="H6" s="3" t="s">
        <v>330</v>
      </c>
      <c r="I6" s="69">
        <f>C26/I26</f>
        <v>2.8884009263879551</v>
      </c>
      <c r="J6" s="6"/>
      <c r="K6" s="74"/>
    </row>
    <row r="7" spans="1:11" ht="15" customHeight="1" x14ac:dyDescent="0.3">
      <c r="B7" s="53" t="s">
        <v>85</v>
      </c>
      <c r="D7" s="61">
        <f>MAX(((D6+MIN('FCFF Model'!D4,0))*Dashboard!I12*Data!C4)/Dashboard!I5, 0)</f>
        <v>14.565271891693065</v>
      </c>
      <c r="E7" s="49" t="str">
        <f>Dashboard!J4</f>
        <v>HKD</v>
      </c>
      <c r="H7" s="3" t="s">
        <v>331</v>
      </c>
      <c r="I7" s="69">
        <f>C25/I26</f>
        <v>0.97485026520690499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0.84442709717655773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16946370</v>
      </c>
      <c r="D11" s="65">
        <v>1</v>
      </c>
      <c r="E11" s="27">
        <f t="shared" ref="E11:E21" si="0">C11*D11</f>
        <v>16946370</v>
      </c>
      <c r="F11" s="6"/>
      <c r="G11" s="6"/>
      <c r="H11" s="5" t="s">
        <v>92</v>
      </c>
      <c r="I11" s="64">
        <v>2253528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31180.352999999999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861793.34100000001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16921980.306000002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2617395</v>
      </c>
      <c r="D17" s="65">
        <v>0.5</v>
      </c>
      <c r="E17" s="27">
        <f t="shared" si="0"/>
        <v>1308697.5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0.5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17196881</v>
      </c>
      <c r="D19" s="65">
        <v>0.6</v>
      </c>
      <c r="E19" s="27">
        <f t="shared" si="0"/>
        <v>10318128.6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20570771</v>
      </c>
      <c r="D20" s="65">
        <v>0.4</v>
      </c>
      <c r="E20" s="27">
        <f t="shared" si="0"/>
        <v>8228308.4000000004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634405</v>
      </c>
      <c r="D21" s="65">
        <v>0.95</v>
      </c>
      <c r="E21" s="27">
        <f t="shared" si="0"/>
        <v>602684.75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16946370</v>
      </c>
      <c r="D24" s="68">
        <f>IF(E24=0,0,E24/C24)</f>
        <v>1</v>
      </c>
      <c r="E24" s="27">
        <f>SUM(E11:E14)</f>
        <v>16946370</v>
      </c>
      <c r="F24" s="6"/>
      <c r="G24" s="6"/>
      <c r="H24" s="66" t="s">
        <v>108</v>
      </c>
      <c r="I24" s="69">
        <f>E24/($I$26-I15)</f>
        <v>5.3857813050966081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19563765</v>
      </c>
      <c r="D25" s="68">
        <f>IF(E25=0,0,E25/C25)</f>
        <v>0.93310605090584553</v>
      </c>
      <c r="E25" s="27">
        <f>E24+SUM(E15:E17)</f>
        <v>18255067.5</v>
      </c>
      <c r="F25" s="6"/>
      <c r="G25" s="6"/>
      <c r="H25" s="66" t="s">
        <v>110</v>
      </c>
      <c r="I25" s="69">
        <f>E25/$I$26</f>
        <v>0.90963868119173141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57965822</v>
      </c>
      <c r="D26" s="14">
        <f t="shared" ref="D26" si="2">E26/C26</f>
        <v>0.64528006262034898</v>
      </c>
      <c r="E26" s="27">
        <f>SUM(E11:E22)</f>
        <v>37404189.25</v>
      </c>
      <c r="H26" s="5" t="s">
        <v>58</v>
      </c>
      <c r="I26" s="64">
        <v>20068482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2943251.338</v>
      </c>
      <c r="J28" s="6"/>
    </row>
    <row r="29" spans="2:10" ht="15" customHeight="1" x14ac:dyDescent="0.3">
      <c r="B29" s="5" t="s">
        <v>114</v>
      </c>
      <c r="C29" s="64">
        <v>2179420</v>
      </c>
      <c r="D29" s="65">
        <v>0.6</v>
      </c>
      <c r="E29" s="27">
        <f t="shared" ref="E29:E40" si="3">C29*D29</f>
        <v>1307652</v>
      </c>
      <c r="F29" s="6"/>
      <c r="G29" s="6"/>
      <c r="H29" s="5" t="s">
        <v>115</v>
      </c>
      <c r="I29" s="64">
        <v>13550.745000000001</v>
      </c>
      <c r="J29" s="6"/>
    </row>
    <row r="30" spans="2:10" ht="15" customHeight="1" x14ac:dyDescent="0.3">
      <c r="B30" s="5" t="s">
        <v>116</v>
      </c>
      <c r="C30" s="64">
        <v>608531</v>
      </c>
      <c r="D30" s="65">
        <v>0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1107494</v>
      </c>
      <c r="D32" s="65">
        <v>0.4</v>
      </c>
      <c r="E32" s="27">
        <f t="shared" si="3"/>
        <v>442997.60000000003</v>
      </c>
      <c r="G32" s="6"/>
      <c r="H32" s="5" t="s">
        <v>120</v>
      </c>
      <c r="I32" s="155">
        <f>I42-SUM(I28:I31)</f>
        <v>64065728.917000003</v>
      </c>
      <c r="J32" s="6"/>
    </row>
    <row r="33" spans="2:10" ht="14" x14ac:dyDescent="0.3">
      <c r="B33" s="5" t="s">
        <v>121</v>
      </c>
      <c r="C33" s="64">
        <v>27509451</v>
      </c>
      <c r="D33" s="65">
        <v>0.4</v>
      </c>
      <c r="E33" s="220">
        <f t="shared" si="3"/>
        <v>11003780.4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80948092</v>
      </c>
      <c r="D34" s="65">
        <v>0.7</v>
      </c>
      <c r="E34" s="220">
        <f t="shared" si="3"/>
        <v>56663664.399999999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21257867</v>
      </c>
      <c r="D35" s="65">
        <v>0.4</v>
      </c>
      <c r="E35" s="27">
        <f t="shared" si="3"/>
        <v>8503146.8000000007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v>21664879</v>
      </c>
      <c r="D36" s="65">
        <v>0.3</v>
      </c>
      <c r="E36" s="27">
        <f t="shared" si="3"/>
        <v>6499463.7000000002</v>
      </c>
      <c r="F36" s="6"/>
      <c r="G36" s="6"/>
    </row>
    <row r="37" spans="2:10" ht="14" x14ac:dyDescent="0.3">
      <c r="B37" s="5" t="s">
        <v>305</v>
      </c>
      <c r="C37" s="64">
        <v>1826761</v>
      </c>
      <c r="D37" s="65">
        <v>0.5</v>
      </c>
      <c r="E37" s="27">
        <f t="shared" si="3"/>
        <v>913380.5</v>
      </c>
      <c r="F37" s="6"/>
      <c r="G37" s="6"/>
    </row>
    <row r="38" spans="2:10" ht="15" customHeight="1" x14ac:dyDescent="0.3">
      <c r="B38" s="5" t="s">
        <v>123</v>
      </c>
      <c r="C38" s="64">
        <v>122504</v>
      </c>
      <c r="D38" s="65">
        <v>0.1</v>
      </c>
      <c r="E38" s="27">
        <f t="shared" si="3"/>
        <v>12250.400000000001</v>
      </c>
      <c r="F38" s="6"/>
      <c r="G38" s="6"/>
    </row>
    <row r="39" spans="2:10" ht="15" customHeight="1" x14ac:dyDescent="0.3">
      <c r="B39" s="5" t="s">
        <v>124</v>
      </c>
      <c r="C39" s="64">
        <v>0</v>
      </c>
      <c r="D39" s="65">
        <v>0.95</v>
      </c>
      <c r="E39" s="27">
        <f t="shared" si="3"/>
        <v>0</v>
      </c>
      <c r="F39" s="6"/>
      <c r="G39" s="6"/>
    </row>
    <row r="40" spans="2:10" ht="15" customHeight="1" x14ac:dyDescent="0.3">
      <c r="B40" s="5" t="s">
        <v>125</v>
      </c>
      <c r="C40" s="64">
        <v>0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157224999</v>
      </c>
      <c r="D42" s="14">
        <f>E42/C42</f>
        <v>0.54282929777598543</v>
      </c>
      <c r="E42" s="27">
        <f>SUM(E28:E40)</f>
        <v>85346335.800000012</v>
      </c>
      <c r="F42" s="6"/>
      <c r="G42" s="6"/>
      <c r="H42" s="5" t="s">
        <v>127</v>
      </c>
      <c r="I42" s="64">
        <v>67022531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19125790</v>
      </c>
      <c r="D44" s="68">
        <f>IF(E44=0,0,E44/C44)</f>
        <v>0.95441924229012243</v>
      </c>
      <c r="E44" s="27">
        <f>E24+SUM(E28:E29)</f>
        <v>18254022</v>
      </c>
      <c r="F44" s="6"/>
      <c r="G44" s="6"/>
      <c r="H44" s="66" t="s">
        <v>129</v>
      </c>
      <c r="I44" s="69">
        <f>E44/(I46-I15-I32)</f>
        <v>2.990842774169193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50968661</v>
      </c>
      <c r="D45" s="68">
        <f>IF(E45=0,0,E45/C45)</f>
        <v>0.60840322055939433</v>
      </c>
      <c r="E45" s="27">
        <f>E44+(E25-E24)+SUM(E30:E33)</f>
        <v>31009497.5</v>
      </c>
      <c r="F45" s="6"/>
      <c r="G45" s="6"/>
      <c r="H45" s="66" t="s">
        <v>131</v>
      </c>
      <c r="I45" s="69">
        <f>E45/$I$46</f>
        <v>0.35605852351263845</v>
      </c>
      <c r="J45" s="13" t="str">
        <f>IF(OR(I45&lt;0.5,C46&lt;I46),"Liquidity Problem!","")</f>
        <v>Liquidity Problem!</v>
      </c>
    </row>
    <row r="46" spans="2:10" ht="15" customHeight="1" x14ac:dyDescent="0.3">
      <c r="B46" s="5" t="s">
        <v>132</v>
      </c>
      <c r="C46" s="70">
        <f>C26+C42</f>
        <v>215190821</v>
      </c>
      <c r="D46" s="14">
        <f>E46/C46</f>
        <v>0.5704263986706013</v>
      </c>
      <c r="E46" s="27">
        <f>E26+E42</f>
        <v>122750525.05000001</v>
      </c>
      <c r="F46" s="6"/>
      <c r="G46" s="6"/>
      <c r="H46" s="5" t="s">
        <v>133</v>
      </c>
      <c r="I46" s="155">
        <f>I26+I42</f>
        <v>87091013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14520788</v>
      </c>
      <c r="D50" s="214">
        <f>IF(E50=0, 0,E50/C50)</f>
        <v>1</v>
      </c>
      <c r="E50" s="218">
        <f>MAX(C50,C50*Dashboard!I10)</f>
        <v>14520788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9">
        <f>D53+D54+D55</f>
        <v>6103303.7770000007</v>
      </c>
      <c r="E52" s="440"/>
      <c r="F52" s="53"/>
      <c r="G52" s="53"/>
    </row>
    <row r="53" spans="2:9" ht="14.5" thickTop="1" x14ac:dyDescent="0.3">
      <c r="B53" s="58" t="s">
        <v>236</v>
      </c>
      <c r="C53" s="6"/>
      <c r="D53" s="442">
        <f>SUM(I11:I13)+SUM(I28:I30)</f>
        <v>6103303.7770000007</v>
      </c>
      <c r="E53" s="420"/>
      <c r="F53" s="5"/>
      <c r="G53" s="5"/>
      <c r="H53" s="3" t="s">
        <v>273</v>
      </c>
      <c r="I53" s="14">
        <f>D53/I3</f>
        <v>5.3736189808646001E-2</v>
      </c>
    </row>
    <row r="54" spans="2:9" ht="14" x14ac:dyDescent="0.3">
      <c r="B54" s="58" t="s">
        <v>136</v>
      </c>
      <c r="C54" s="6"/>
      <c r="D54" s="447">
        <v>0</v>
      </c>
      <c r="E54" s="404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7">
        <v>0</v>
      </c>
      <c r="E55" s="404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1"/>
      <c r="E57" s="441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30297402</v>
      </c>
      <c r="D58" s="129">
        <f>IF(E58=0,0,E58/C58)</f>
        <v>0.40635274272031641</v>
      </c>
      <c r="E58" s="221">
        <f>E14+E15+(E19*G19)+(E20*G20)+E29+E30+(E33*G33)+(E34*G34)+(E35*G35)</f>
        <v>12311432.4</v>
      </c>
      <c r="H58" s="6"/>
    </row>
    <row r="59" spans="2:9" ht="14" x14ac:dyDescent="0.3">
      <c r="B59" s="53" t="s">
        <v>91</v>
      </c>
      <c r="C59" s="213">
        <f>C11+C12+C28</f>
        <v>16946370</v>
      </c>
      <c r="D59" s="214">
        <f>IF(E59=0,0,E59/C59)</f>
        <v>1</v>
      </c>
      <c r="E59" s="215">
        <f>E11+E12+E28</f>
        <v>16946370</v>
      </c>
      <c r="F59" s="6"/>
      <c r="G59" s="6"/>
    </row>
    <row r="60" spans="2:9" ht="14" x14ac:dyDescent="0.3">
      <c r="B60" s="53" t="s">
        <v>140</v>
      </c>
      <c r="C60" s="6"/>
      <c r="D60" s="445">
        <f>((Dashboard!I6*Data!C4)+D52+E50-C58-C59)</f>
        <v>2406518.8170000017</v>
      </c>
      <c r="E60" s="44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37">
        <f>((C26-C11-C12-C14-C15-C16*G16-C19*G19-C20*G20)-I26)/Data!C7</f>
        <v>1.3669532590180158</v>
      </c>
      <c r="E63" s="438"/>
    </row>
    <row r="64" spans="2:9" ht="15" customHeight="1" x14ac:dyDescent="0.3">
      <c r="B64" s="3" t="s">
        <v>267</v>
      </c>
      <c r="D64" s="443">
        <v>6.9000000000000006E-2</v>
      </c>
      <c r="E64" s="444"/>
      <c r="F64" s="266" t="s">
        <v>252</v>
      </c>
    </row>
    <row r="65" spans="2:5" ht="15" customHeight="1" x14ac:dyDescent="0.3">
      <c r="B65" s="292" t="s">
        <v>269</v>
      </c>
      <c r="D65" s="443">
        <v>0.15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6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>
        <f>IF(G12="","",EOMONTH(EDATE(E3,12),0))</f>
        <v>45291</v>
      </c>
      <c r="H3" s="28"/>
      <c r="I3" s="278" t="str">
        <f>IF(I19="","",EOMONTH(EDATE(G3,12),0))</f>
        <v/>
      </c>
      <c r="J3" s="295"/>
      <c r="L3" s="72" t="s">
        <v>141</v>
      </c>
    </row>
    <row r="4" spans="1:13" ht="15.75" customHeight="1" x14ac:dyDescent="0.3">
      <c r="B4" s="17" t="s">
        <v>317</v>
      </c>
      <c r="C4" s="347">
        <v>4053111</v>
      </c>
      <c r="D4" s="260"/>
      <c r="E4" s="222">
        <f>1882783*1.5</f>
        <v>2824174.5</v>
      </c>
      <c r="F4" s="260"/>
      <c r="G4" s="222">
        <f>C4</f>
        <v>4053111</v>
      </c>
      <c r="H4" s="260"/>
      <c r="I4" s="222"/>
      <c r="J4" s="287"/>
      <c r="K4" s="6"/>
      <c r="L4" s="74"/>
      <c r="M4" s="57"/>
    </row>
    <row r="5" spans="1:13" ht="15.75" customHeight="1" x14ac:dyDescent="0.3">
      <c r="B5" s="17" t="s">
        <v>318</v>
      </c>
      <c r="C5" s="347">
        <v>1291010</v>
      </c>
      <c r="D5" s="260"/>
      <c r="E5" s="222">
        <f>619537*1.8</f>
        <v>1115166.6000000001</v>
      </c>
      <c r="F5" s="260"/>
      <c r="G5" s="222">
        <f>C5*1.04</f>
        <v>1342650.4000000001</v>
      </c>
      <c r="H5" s="260"/>
      <c r="I5" s="222"/>
      <c r="J5" s="287"/>
      <c r="K5" s="6"/>
      <c r="L5" s="74"/>
      <c r="M5" s="57"/>
    </row>
    <row r="6" spans="1:13" ht="15.75" customHeight="1" x14ac:dyDescent="0.3">
      <c r="B6" s="348" t="s">
        <v>319</v>
      </c>
      <c r="C6" s="347">
        <f>C4+C5</f>
        <v>5344121</v>
      </c>
      <c r="D6" s="260">
        <f>C6/C$11</f>
        <v>0.34867901665348278</v>
      </c>
      <c r="E6" s="222">
        <f>E4+E5</f>
        <v>3939341.1</v>
      </c>
      <c r="F6" s="260">
        <f>E6/E11</f>
        <v>0.54084868327105462</v>
      </c>
      <c r="G6" s="222">
        <f>G4+G5</f>
        <v>5395761.4000000004</v>
      </c>
      <c r="H6" s="260">
        <f>G6/G11</f>
        <v>0.44966633382626964</v>
      </c>
      <c r="I6" s="222"/>
      <c r="J6" s="287"/>
      <c r="K6" s="6"/>
      <c r="L6" s="74"/>
      <c r="M6" s="57"/>
    </row>
    <row r="7" spans="1:13" ht="15.75" customHeight="1" x14ac:dyDescent="0.3">
      <c r="B7" s="17" t="s">
        <v>317</v>
      </c>
      <c r="C7" s="347">
        <v>4584914</v>
      </c>
      <c r="D7" s="260"/>
      <c r="E7" s="222">
        <f>355693*1.5</f>
        <v>533539.5</v>
      </c>
      <c r="F7" s="260"/>
      <c r="G7" s="222">
        <f>C7/3</f>
        <v>1528304.6666666667</v>
      </c>
      <c r="H7" s="260"/>
      <c r="I7" s="222"/>
      <c r="J7" s="287"/>
      <c r="K7" s="6"/>
      <c r="L7" s="74"/>
      <c r="M7" s="57"/>
    </row>
    <row r="8" spans="1:13" ht="15.75" customHeight="1" x14ac:dyDescent="0.3">
      <c r="B8" s="17" t="s">
        <v>318</v>
      </c>
      <c r="C8" s="347">
        <v>3786145</v>
      </c>
      <c r="D8" s="260"/>
      <c r="E8" s="222">
        <f>1358253*1.6</f>
        <v>2173204.8000000003</v>
      </c>
      <c r="F8" s="260"/>
      <c r="G8" s="347">
        <f>C8</f>
        <v>3786145</v>
      </c>
      <c r="H8" s="260"/>
      <c r="I8" s="222"/>
      <c r="J8" s="287"/>
      <c r="K8" s="6"/>
      <c r="L8" s="74"/>
      <c r="M8" s="57"/>
    </row>
    <row r="9" spans="1:13" ht="15.75" customHeight="1" x14ac:dyDescent="0.3">
      <c r="B9" s="348" t="s">
        <v>320</v>
      </c>
      <c r="C9" s="347">
        <f>C7+C8</f>
        <v>8371059</v>
      </c>
      <c r="D9" s="260">
        <f>C9/C$11</f>
        <v>0.54617262978669212</v>
      </c>
      <c r="E9" s="222">
        <f>E7+E8</f>
        <v>2706744.3000000003</v>
      </c>
      <c r="F9" s="260">
        <f>E9/E11</f>
        <v>0.37162029218704429</v>
      </c>
      <c r="G9" s="222">
        <f>G7+G8</f>
        <v>5314449.666666667</v>
      </c>
      <c r="H9" s="260">
        <f>G9/G11</f>
        <v>0.4428900614312265</v>
      </c>
      <c r="I9" s="222"/>
      <c r="J9" s="287"/>
      <c r="K9" s="6"/>
      <c r="L9" s="74"/>
      <c r="M9" s="57"/>
    </row>
    <row r="10" spans="1:13" ht="15.75" customHeight="1" x14ac:dyDescent="0.3">
      <c r="B10" s="348" t="s">
        <v>321</v>
      </c>
      <c r="C10" s="347">
        <v>1611584</v>
      </c>
      <c r="D10" s="260">
        <f>C10/C$11</f>
        <v>0.10514835355982516</v>
      </c>
      <c r="E10" s="222">
        <f>425029*1.5</f>
        <v>637543.5</v>
      </c>
      <c r="F10" s="260">
        <f>E10/E11</f>
        <v>8.7531024541901079E-2</v>
      </c>
      <c r="G10" s="222">
        <f>C10*0.8</f>
        <v>1289267.2000000002</v>
      </c>
      <c r="H10" s="260">
        <f>G10/G11</f>
        <v>0.107443604742504</v>
      </c>
      <c r="I10" s="222"/>
      <c r="J10" s="287"/>
      <c r="K10" s="6"/>
      <c r="L10" s="74"/>
      <c r="M10" s="57"/>
    </row>
    <row r="11" spans="1:13" ht="15.75" customHeight="1" x14ac:dyDescent="0.3">
      <c r="B11" s="5" t="s">
        <v>143</v>
      </c>
      <c r="C11" s="180">
        <f>C6+C9+C10</f>
        <v>15326764</v>
      </c>
      <c r="D11" s="259"/>
      <c r="E11" s="180">
        <f>E6+E9+E10</f>
        <v>7283628.9000000004</v>
      </c>
      <c r="F11" s="259"/>
      <c r="G11" s="180">
        <f>G6+G9+G10</f>
        <v>11999478.266666666</v>
      </c>
      <c r="H11" s="259"/>
      <c r="I11" s="228"/>
      <c r="J11" s="288"/>
      <c r="K11" s="6"/>
      <c r="L11" s="74" t="s">
        <v>270</v>
      </c>
      <c r="M11" s="57"/>
    </row>
    <row r="12" spans="1:13" ht="15.75" customHeight="1" x14ac:dyDescent="0.3">
      <c r="B12" s="17" t="s">
        <v>142</v>
      </c>
      <c r="C12" s="187"/>
      <c r="D12" s="261"/>
      <c r="E12" s="18">
        <f>E11/C11-1</f>
        <v>-0.52477712190257508</v>
      </c>
      <c r="F12" s="261"/>
      <c r="G12" s="73">
        <f>G11/E11-1</f>
        <v>0.64745876422488591</v>
      </c>
      <c r="H12" s="261"/>
      <c r="I12" s="73"/>
      <c r="J12" s="326"/>
      <c r="K12" s="6"/>
      <c r="L12" s="74"/>
      <c r="M12" s="57"/>
    </row>
    <row r="13" spans="1:13" ht="15.75" customHeight="1" x14ac:dyDescent="0.3">
      <c r="B13" s="8" t="s">
        <v>144</v>
      </c>
      <c r="C13" s="181">
        <f>Data!C9</f>
        <v>6583757</v>
      </c>
      <c r="D13" s="262"/>
      <c r="E13" s="227">
        <f>2094072*1.8</f>
        <v>3769329.6</v>
      </c>
      <c r="F13" s="262"/>
      <c r="G13" s="282">
        <f>IF(G11="","",G11*(1-G14))</f>
        <v>5519760.0026666662</v>
      </c>
      <c r="H13" s="262"/>
      <c r="I13" s="282" t="str">
        <f>IF(I11="","",I11*(1-I14))</f>
        <v/>
      </c>
      <c r="J13" s="327"/>
      <c r="K13" s="6"/>
      <c r="L13" s="116"/>
      <c r="M13" s="1"/>
    </row>
    <row r="14" spans="1:13" ht="15.75" customHeight="1" x14ac:dyDescent="0.3">
      <c r="B14" s="17" t="s">
        <v>48</v>
      </c>
      <c r="C14" s="186">
        <f>(C11-C13)/C11</f>
        <v>0.57044050524950995</v>
      </c>
      <c r="D14" s="186"/>
      <c r="E14" s="73">
        <f>(E11-E13)/E11</f>
        <v>0.4824929095440324</v>
      </c>
      <c r="F14" s="186"/>
      <c r="G14" s="73">
        <v>0.54</v>
      </c>
      <c r="H14" s="186"/>
      <c r="I14" s="73"/>
      <c r="J14" s="328"/>
      <c r="K14" s="6"/>
      <c r="L14" s="74"/>
    </row>
    <row r="15" spans="1:13" ht="15.75" customHeight="1" x14ac:dyDescent="0.3">
      <c r="B15" s="5" t="s">
        <v>145</v>
      </c>
      <c r="C15" s="27">
        <f>C11-C13</f>
        <v>8743007</v>
      </c>
      <c r="D15" s="27"/>
      <c r="E15" s="27">
        <f>E11-E13</f>
        <v>3514299.3000000003</v>
      </c>
      <c r="F15" s="27"/>
      <c r="G15" s="27">
        <f>IF(G12="","",G11-G13)</f>
        <v>6479718.2639999995</v>
      </c>
      <c r="H15" s="27"/>
      <c r="I15" s="27" t="str">
        <f>IF(I12="","",I11-I13)</f>
        <v/>
      </c>
      <c r="J15" s="242"/>
      <c r="K15" s="6"/>
      <c r="L15" s="74"/>
    </row>
    <row r="16" spans="1:13" ht="15.75" customHeight="1" x14ac:dyDescent="0.3">
      <c r="B16" s="17" t="s">
        <v>50</v>
      </c>
      <c r="C16" s="189">
        <f>C17/C11</f>
        <v>0.13070880454608683</v>
      </c>
      <c r="D16" s="189"/>
      <c r="E16" s="226">
        <f>E17/E11</f>
        <v>0.2318067028373727</v>
      </c>
      <c r="F16" s="189"/>
      <c r="G16" s="65">
        <f>G17/G11</f>
        <v>0.17363060907303671</v>
      </c>
      <c r="H16" s="189"/>
      <c r="I16" s="65"/>
      <c r="J16" s="329"/>
      <c r="K16" s="6"/>
      <c r="L16" s="74"/>
    </row>
    <row r="17" spans="2:13" ht="15.75" customHeight="1" x14ac:dyDescent="0.3">
      <c r="B17" s="8" t="s">
        <v>146</v>
      </c>
      <c r="C17" s="183">
        <v>2003343</v>
      </c>
      <c r="D17" s="263"/>
      <c r="E17" s="76">
        <f>844197*2</f>
        <v>1688394</v>
      </c>
      <c r="F17" s="263"/>
      <c r="G17" s="76">
        <f>C17*1.04</f>
        <v>2083476.72</v>
      </c>
      <c r="H17" s="263"/>
      <c r="I17" s="76"/>
      <c r="J17" s="330"/>
      <c r="K17" s="6"/>
      <c r="L17" s="74"/>
    </row>
    <row r="18" spans="2:13" ht="15.75" customHeight="1" x14ac:dyDescent="0.3">
      <c r="B18" s="17" t="s">
        <v>51</v>
      </c>
      <c r="C18" s="18">
        <f>C20/C11</f>
        <v>0.4397317007034231</v>
      </c>
      <c r="D18" s="18"/>
      <c r="E18" s="18">
        <f>E20/E11</f>
        <v>0.25068620670665964</v>
      </c>
      <c r="F18" s="18"/>
      <c r="G18" s="18">
        <f>IF(G12="","",G20/G11)</f>
        <v>0.3663693909269633</v>
      </c>
      <c r="H18" s="18"/>
      <c r="I18" s="18" t="str">
        <f>IF(I12="","",I20/I11)</f>
        <v/>
      </c>
      <c r="J18" s="231"/>
      <c r="K18" s="6"/>
      <c r="L18" s="74"/>
      <c r="M18" s="57"/>
    </row>
    <row r="19" spans="2:13" ht="15.75" customHeight="1" x14ac:dyDescent="0.3">
      <c r="B19" s="17" t="s">
        <v>147</v>
      </c>
      <c r="C19" s="188"/>
      <c r="D19" s="264"/>
      <c r="E19" s="14">
        <f>IF(ABS(C20+E20)=ABS(C20)+ABS(E20),IF(E20&lt;0,-1,1)*(E20-C20)/C20,"Turn")</f>
        <v>-0.72908066336838151</v>
      </c>
      <c r="F19" s="264"/>
      <c r="G19" s="14">
        <f>IF(G12="","",IF(ABS(E20+G20)=ABS(E20)+ABS(G20),IF(G20&lt;0,-1,1)*(G20-E20)/E20,"Turn"))</f>
        <v>1.407705122494578</v>
      </c>
      <c r="H19" s="264"/>
      <c r="I19" s="14" t="str">
        <f>IF(I12="","",IF(ABS(G20+I20)=ABS(G20)+ABS(I20),IF(I20&lt;0,-1,1)*(I20-G20)/G20,"Turn"))</f>
        <v/>
      </c>
      <c r="J19" s="331"/>
      <c r="K19" s="6"/>
      <c r="L19" s="77"/>
      <c r="M19" s="78"/>
    </row>
    <row r="20" spans="2:13" ht="15.75" customHeight="1" x14ac:dyDescent="0.3">
      <c r="B20" s="134" t="s">
        <v>247</v>
      </c>
      <c r="C20" s="318">
        <f>C15-C17</f>
        <v>6739664</v>
      </c>
      <c r="D20" s="319"/>
      <c r="E20" s="318">
        <f>E15-E17</f>
        <v>1825905.3000000003</v>
      </c>
      <c r="F20" s="319"/>
      <c r="G20" s="318">
        <f>IF(G12="","",G15-G17)</f>
        <v>4396241.5439999998</v>
      </c>
      <c r="H20" s="319"/>
      <c r="I20" s="318" t="str">
        <f>IF(I12="","",I15-I17)</f>
        <v/>
      </c>
      <c r="J20" s="332"/>
      <c r="K20" s="6"/>
      <c r="L20" s="79"/>
      <c r="M20" s="56"/>
    </row>
    <row r="21" spans="2:13" ht="15.75" customHeight="1" x14ac:dyDescent="0.3">
      <c r="B21" s="314" t="s">
        <v>148</v>
      </c>
      <c r="C21" s="315">
        <v>0.25</v>
      </c>
      <c r="D21" s="316"/>
      <c r="E21" s="317">
        <f>IF(E20="","",C21)</f>
        <v>0.25</v>
      </c>
      <c r="F21" s="317"/>
      <c r="G21" s="317">
        <f>IF(G20="","",E21)</f>
        <v>0.25</v>
      </c>
      <c r="H21" s="317"/>
      <c r="I21" s="317" t="str">
        <f>IF(I20="","",G21)</f>
        <v/>
      </c>
      <c r="J21" s="333"/>
    </row>
    <row r="22" spans="2:13" ht="15.75" customHeight="1" x14ac:dyDescent="0.3">
      <c r="B22" s="323" t="s">
        <v>307</v>
      </c>
      <c r="C22" s="264">
        <f>C23/C13</f>
        <v>0.76776041400069894</v>
      </c>
      <c r="D22" s="325"/>
      <c r="E22" s="324">
        <f>E23/E13</f>
        <v>0.36330836523290511</v>
      </c>
      <c r="F22" s="324"/>
      <c r="G22" s="324">
        <f>IF(G13="","",G23/G13)</f>
        <v>0.59734139825048371</v>
      </c>
      <c r="H22" s="324"/>
      <c r="I22" s="324" t="str">
        <f>IF(I13="","",I23/I13)</f>
        <v/>
      </c>
      <c r="J22" s="334"/>
    </row>
    <row r="23" spans="2:13" ht="15.75" customHeight="1" x14ac:dyDescent="0.3">
      <c r="B23" s="320" t="s">
        <v>80</v>
      </c>
      <c r="C23" s="321">
        <f>IF(C20&lt;=0,C20,C20*(1-C21))</f>
        <v>5054748</v>
      </c>
      <c r="D23" s="321"/>
      <c r="E23" s="322">
        <f>IF(E20="","",IF(E20&lt;=0,E20,E20*(1-E21)))</f>
        <v>1369428.9750000001</v>
      </c>
      <c r="F23" s="321"/>
      <c r="G23" s="322">
        <f>IF(G20="","",IF(G20&lt;=0,G20,G20*(1-G21)))</f>
        <v>3297181.1579999998</v>
      </c>
      <c r="H23" s="321"/>
      <c r="I23" s="322" t="str">
        <f>IF(I20="","",IF(I20&lt;=0,I20,I20*(1-I21)))</f>
        <v/>
      </c>
      <c r="J23" s="335"/>
    </row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</sheetData>
  <conditionalFormatting sqref="E21:E23">
    <cfRule type="containsBlanks" dxfId="9" priority="6">
      <formula>LEN(TRIM(E21))=0</formula>
    </cfRule>
  </conditionalFormatting>
  <conditionalFormatting sqref="G14:G16">
    <cfRule type="containsBlanks" dxfId="8" priority="1">
      <formula>LEN(TRIM(G14))=0</formula>
    </cfRule>
    <cfRule type="containsBlanks" priority="2">
      <formula>LEN(TRIM(G14))=0</formula>
    </cfRule>
  </conditionalFormatting>
  <conditionalFormatting sqref="G23 I23">
    <cfRule type="containsBlanks" dxfId="7" priority="8">
      <formula>LEN(TRIM(G23))=0</formula>
    </cfRule>
  </conditionalFormatting>
  <conditionalFormatting sqref="G18:H20 G12:I13 H14:H17">
    <cfRule type="containsBlanks" priority="15">
      <formula>LEN(TRIM(G12))=0</formula>
    </cfRule>
  </conditionalFormatting>
  <conditionalFormatting sqref="G18:H20">
    <cfRule type="containsBlanks" dxfId="6" priority="14">
      <formula>LEN(TRIM(G18))=0</formula>
    </cfRule>
  </conditionalFormatting>
  <conditionalFormatting sqref="G12:J23">
    <cfRule type="containsBlanks" dxfId="5" priority="5">
      <formula>LEN(TRIM(G12))=0</formula>
    </cfRule>
  </conditionalFormatting>
  <conditionalFormatting sqref="H14:J17">
    <cfRule type="containsBlanks" dxfId="4" priority="7">
      <formula>LEN(TRIM(H14))=0</formula>
    </cfRule>
  </conditionalFormatting>
  <conditionalFormatting sqref="I12 I14:I20">
    <cfRule type="containsBlanks" dxfId="3" priority="12">
      <formula>LEN(TRIM(I12))=0</formula>
    </cfRule>
    <cfRule type="containsBlanks" priority="13">
      <formula>LEN(TRIM(I12))=0</formula>
    </cfRule>
  </conditionalFormatting>
  <conditionalFormatting sqref="J12:J20">
    <cfRule type="containsBlanks" dxfId="2" priority="10">
      <formula>LEN(TRIM(J12))=0</formula>
    </cfRule>
    <cfRule type="containsBlanks" priority="11">
      <formula>LEN(TRIM(J12))=0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Operation!C23</f>
        <v>5054748</v>
      </c>
      <c r="D4" s="45">
        <f>Operation!E23</f>
        <v>1369428.9750000001</v>
      </c>
      <c r="E4" s="45">
        <f>Operation!G23</f>
        <v>3297181.1579999998</v>
      </c>
      <c r="F4" s="201" t="str">
        <f>Operation!I23</f>
        <v/>
      </c>
      <c r="G4" s="302">
        <f>IF(F3="",IF(E3="",1,2),3)</f>
        <v>2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-0.72908066336838151</v>
      </c>
      <c r="E5" s="258">
        <f>IF(E4="","",E4/D4-1)</f>
        <v>1.407705122494578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</v>
      </c>
      <c r="D6" s="226">
        <v>0.3</v>
      </c>
      <c r="E6" s="65">
        <v>0.3</v>
      </c>
      <c r="F6" s="307"/>
      <c r="G6" s="199"/>
      <c r="H6" s="6"/>
      <c r="I6" s="77"/>
    </row>
    <row r="7" spans="1:10" ht="15" customHeight="1" thickBot="1" x14ac:dyDescent="0.35">
      <c r="B7" s="81" t="s">
        <v>271</v>
      </c>
      <c r="C7" s="308">
        <f>C4*C6</f>
        <v>1516424.4</v>
      </c>
      <c r="D7" s="308">
        <f>D4*D6</f>
        <v>410828.6925</v>
      </c>
      <c r="E7" s="309">
        <f>E4*E6</f>
        <v>989154.34739999985</v>
      </c>
      <c r="F7" s="309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3538323.6</v>
      </c>
      <c r="D8" s="191">
        <f>D4-D7</f>
        <v>958600.28250000009</v>
      </c>
      <c r="E8" s="191">
        <f>IF(E4="","",E4-E7)</f>
        <v>2308026.8106</v>
      </c>
      <c r="F8" s="191" t="str">
        <f>IF(F4="","",F4-F7)</f>
        <v/>
      </c>
      <c r="G8" s="229">
        <f>IF(F4="",IF(E4="",D8,E8),F8)</f>
        <v>2308026.8106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2.438020627588172</v>
      </c>
      <c r="D9" s="304">
        <f>D8/(Common_Shares/Data!$C$4)</f>
        <v>0.66050693112038972</v>
      </c>
      <c r="E9" s="304">
        <f>IF(E8="","",E8/(Common_Shares/Data!$C$4))</f>
        <v>1.5903059215017357</v>
      </c>
      <c r="F9" s="304" t="str">
        <f>IF(F8="","",F8/(Common_Shares/Data!$C$4))</f>
        <v/>
      </c>
      <c r="G9" s="305">
        <f>G8*Data!C$4/Dashboard!I5</f>
        <v>1.5903059215017357</v>
      </c>
      <c r="H9" s="82"/>
      <c r="I9" s="56"/>
      <c r="J9" s="56"/>
    </row>
    <row r="10" spans="1:10" ht="15.75" customHeight="1" x14ac:dyDescent="0.3">
      <c r="B10" s="234" t="s">
        <v>248</v>
      </c>
      <c r="C10" s="310">
        <f>C11/C9</f>
        <v>0.55372788266172157</v>
      </c>
      <c r="D10" s="310">
        <f>D11/D9</f>
        <v>2.0438846837080917</v>
      </c>
      <c r="E10" s="341"/>
      <c r="F10" s="341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f>0.4+0.95</f>
        <v>1.35</v>
      </c>
      <c r="D11" s="285">
        <f>0.4+0.95</f>
        <v>1.35</v>
      </c>
      <c r="E11" s="342"/>
      <c r="F11" s="342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0.95</v>
      </c>
      <c r="E12" s="343"/>
      <c r="F12" s="343"/>
      <c r="G12" s="230">
        <f>G9*D26</f>
        <v>15.903059215017358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0.87962962962962954</v>
      </c>
      <c r="E15" s="196">
        <f ca="1">IF(E9="","",E9/E14)</f>
        <v>1.3634310026592382</v>
      </c>
      <c r="F15" s="196" t="str">
        <f>IF(F9="","",F9/F14)</f>
        <v/>
      </c>
      <c r="G15" s="233">
        <f ca="1">IF(G12=0,0,G12/G14)</f>
        <v>12.624361135733688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16946370</v>
      </c>
      <c r="D18" s="219">
        <f>C18/(Dashboard!I5/Data!C4)</f>
        <v>11.676602903912285</v>
      </c>
      <c r="E18" s="85" t="s">
        <v>238</v>
      </c>
      <c r="G18" s="137">
        <f>C18+C19+C20+C21</f>
        <v>8633710.6229999959</v>
      </c>
    </row>
    <row r="19" spans="1:9" ht="15.75" customHeight="1" x14ac:dyDescent="0.3">
      <c r="B19" s="58" t="s">
        <v>245</v>
      </c>
      <c r="C19" s="84">
        <f>Asset_Model!E58</f>
        <v>12311432.4</v>
      </c>
      <c r="D19" s="219">
        <f>C19/(Dashboard!I5/Data!C4)</f>
        <v>8.482979382201604</v>
      </c>
      <c r="E19" s="85" t="s">
        <v>239</v>
      </c>
      <c r="G19" s="197">
        <f>(G18+MIN(D4,0))*Data!C$4/Dashboard!I5</f>
        <v>5.9489088537580672</v>
      </c>
    </row>
    <row r="20" spans="1:9" ht="15.75" customHeight="1" x14ac:dyDescent="0.3">
      <c r="B20" s="58" t="s">
        <v>223</v>
      </c>
      <c r="C20" s="84">
        <f>-Asset_Model!D52</f>
        <v>-6103303.7770000007</v>
      </c>
      <c r="D20" s="219">
        <f>C20/(Dashboard!I5/Data!C4)</f>
        <v>-4.2053758183007348</v>
      </c>
      <c r="E20" s="450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-14520788</v>
      </c>
      <c r="D21" s="219">
        <f>C21/(Dashboard!I5/Data!C4)</f>
        <v>-10.005297614055085</v>
      </c>
      <c r="E21" s="450"/>
      <c r="F21" s="148">
        <f>D18</f>
        <v>11.676602903912285</v>
      </c>
      <c r="G21" s="147">
        <f>SUM(D19:D21)</f>
        <v>-5.7276940501542155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53" t="s">
        <v>231</v>
      </c>
      <c r="F23" s="453"/>
      <c r="G23" s="453"/>
    </row>
    <row r="24" spans="1:9" ht="15.75" customHeight="1" x14ac:dyDescent="0.3">
      <c r="B24" s="127" t="str">
        <f>"Exit after Year "&amp;G4</f>
        <v>Exit after Year 2</v>
      </c>
      <c r="C24" s="127" t="s">
        <v>227</v>
      </c>
      <c r="D24" s="202" t="s">
        <v>220</v>
      </c>
      <c r="E24" s="303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0.16666666666666666</v>
      </c>
      <c r="D25" s="296">
        <v>6</v>
      </c>
      <c r="E25" s="206">
        <f ca="1">G9*D25/G14</f>
        <v>7.5746166814402116</v>
      </c>
      <c r="F25" s="451">
        <f ca="1">SUM(C15:F15)</f>
        <v>2.2430606322888678</v>
      </c>
      <c r="G25" s="206">
        <f ca="1">$F$25+E25+$G$19</f>
        <v>15.766586167487148</v>
      </c>
      <c r="I25" s="74"/>
    </row>
    <row r="26" spans="1:9" ht="15.75" customHeight="1" x14ac:dyDescent="0.3">
      <c r="B26" s="300" t="s">
        <v>302</v>
      </c>
      <c r="C26" s="301">
        <f t="shared" ref="C26" si="0">1/D26</f>
        <v>0.1</v>
      </c>
      <c r="D26" s="313">
        <v>10</v>
      </c>
      <c r="E26" s="207">
        <f ca="1">G9*D26/G14</f>
        <v>12.624361135733688</v>
      </c>
      <c r="F26" s="452"/>
      <c r="G26" s="207">
        <f ca="1">$F$25+E26+$G$19</f>
        <v>20.816330621780622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15.177942172348047</v>
      </c>
      <c r="D29" s="23" t="str">
        <f ca="1">IF(C29&lt;E29,"&lt;",IF(C29=E29,"=","&gt;"))</f>
        <v>&lt;</v>
      </c>
      <c r="E29" s="251">
        <f ca="1">G26*Exchange_Rate</f>
        <v>20.816330621780622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8" t="s">
        <v>153</v>
      </c>
      <c r="D31" s="449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18.627667404704535</v>
      </c>
      <c r="D32" s="119" t="str">
        <f>Dashboard!J4</f>
        <v>HKD</v>
      </c>
      <c r="E32" s="120">
        <f ca="1">(C32-G19)/C9</f>
        <v>5.2004312053294708</v>
      </c>
      <c r="F32" s="158">
        <f ca="1">C32/(Data!C28*Exchange_Rate*Data!C4/Common_Shares)</f>
        <v>0.20432227628718941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21.979043699136202</v>
      </c>
      <c r="D33" s="208" t="str">
        <f>D32</f>
        <v>HKD</v>
      </c>
      <c r="E33" s="120">
        <f ca="1">(C33-G19)/C9</f>
        <v>6.5750612049726804</v>
      </c>
      <c r="F33" s="158">
        <f ca="1">C33/(Data!C28*Exchange_Rate*Data!C4/Common_Shares)</f>
        <v>0.2410826939120104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31" sqref="E3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322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 t="s">
        <v>323</v>
      </c>
    </row>
    <row r="5" spans="1:7" ht="14" x14ac:dyDescent="0.3">
      <c r="B5" s="6" t="s">
        <v>281</v>
      </c>
      <c r="C5" s="96"/>
      <c r="D5" s="94">
        <f>AVERAGE(D12:D16)</f>
        <v>3.4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3"/>
    </row>
    <row r="11" spans="1:7" ht="15" customHeight="1" x14ac:dyDescent="0.3">
      <c r="B11" s="99" t="s">
        <v>159</v>
      </c>
      <c r="C11" s="93"/>
      <c r="E11" s="6"/>
      <c r="G11" s="293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4</v>
      </c>
      <c r="E12" s="31" t="s">
        <v>165</v>
      </c>
      <c r="F12" s="6"/>
      <c r="G12" s="293" t="s">
        <v>324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3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3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3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3"/>
    </row>
    <row r="17" spans="2:7" ht="15" customHeight="1" x14ac:dyDescent="0.3">
      <c r="B17" s="99" t="s">
        <v>166</v>
      </c>
      <c r="D17" s="38"/>
      <c r="E17" s="23"/>
      <c r="G17" s="293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3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1</v>
      </c>
      <c r="E19" s="31" t="s">
        <v>163</v>
      </c>
      <c r="F19" s="6"/>
      <c r="G19" s="293"/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3"/>
    </row>
    <row r="21" spans="2:7" ht="15" customHeight="1" x14ac:dyDescent="0.3">
      <c r="B21" s="53" t="s">
        <v>169</v>
      </c>
      <c r="D21" s="100">
        <f t="shared" si="1"/>
        <v>2</v>
      </c>
      <c r="E21" s="31" t="s">
        <v>155</v>
      </c>
      <c r="F21" s="6"/>
      <c r="G21" s="293"/>
    </row>
    <row r="22" spans="2:7" ht="15" customHeight="1" x14ac:dyDescent="0.3">
      <c r="B22" s="53" t="s">
        <v>170</v>
      </c>
      <c r="D22" s="100">
        <f t="shared" si="1"/>
        <v>1</v>
      </c>
      <c r="E22" s="31" t="s">
        <v>163</v>
      </c>
      <c r="F22" s="6"/>
      <c r="G22" s="293"/>
    </row>
    <row r="23" spans="2:7" ht="15" customHeight="1" x14ac:dyDescent="0.3">
      <c r="B23" s="99" t="s">
        <v>171</v>
      </c>
      <c r="D23" s="38"/>
      <c r="E23" s="23"/>
      <c r="G23" s="293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3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3"/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3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3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3"/>
    </row>
    <row r="29" spans="2:7" ht="15" customHeight="1" x14ac:dyDescent="0.3">
      <c r="B29" s="99" t="s">
        <v>175</v>
      </c>
      <c r="D29" s="38"/>
      <c r="E29" s="23"/>
      <c r="G29" s="293"/>
    </row>
    <row r="30" spans="2:7" ht="15" customHeight="1" x14ac:dyDescent="0.3">
      <c r="B30" s="1" t="s">
        <v>176</v>
      </c>
      <c r="D30" s="103">
        <f>SUM(D31:D35)/(5*4)</f>
        <v>0.55000000000000004</v>
      </c>
      <c r="E30" s="49" t="str">
        <f>IF(D30&gt;80%,"Very High",IF(D30&lt;=20%,"Very Low",IF(D30&lt;=40%,"Low",IF(D30&lt;=60%,"Medium","High"))))</f>
        <v>Medium</v>
      </c>
      <c r="F30" s="6"/>
      <c r="G30" s="293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3"/>
    </row>
    <row r="32" spans="2:7" ht="15" customHeight="1" x14ac:dyDescent="0.3">
      <c r="B32" s="53" t="s">
        <v>289</v>
      </c>
      <c r="D32" s="100">
        <f t="shared" si="3"/>
        <v>4</v>
      </c>
      <c r="E32" s="31" t="s">
        <v>165</v>
      </c>
      <c r="F32" s="6"/>
      <c r="G32" s="293"/>
    </row>
    <row r="33" spans="2:7" ht="15" customHeight="1" x14ac:dyDescent="0.3">
      <c r="B33" s="53" t="s">
        <v>290</v>
      </c>
      <c r="D33" s="100">
        <f t="shared" si="3"/>
        <v>3</v>
      </c>
      <c r="E33" s="31" t="s">
        <v>156</v>
      </c>
      <c r="F33" s="6"/>
      <c r="G33" s="293"/>
    </row>
    <row r="34" spans="2:7" ht="15" customHeight="1" x14ac:dyDescent="0.3">
      <c r="B34" s="53" t="s">
        <v>291</v>
      </c>
      <c r="D34" s="100">
        <f t="shared" si="3"/>
        <v>1</v>
      </c>
      <c r="E34" s="31" t="s">
        <v>163</v>
      </c>
      <c r="F34" s="6"/>
      <c r="G34" s="293"/>
    </row>
    <row r="35" spans="2:7" ht="15" customHeight="1" x14ac:dyDescent="0.3">
      <c r="B35" s="53" t="s">
        <v>308</v>
      </c>
      <c r="D35" s="100">
        <f t="shared" si="3"/>
        <v>3</v>
      </c>
      <c r="E35" s="31" t="s">
        <v>156</v>
      </c>
      <c r="G35" s="293"/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3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3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178</v>
      </c>
      <c r="F38" s="6"/>
      <c r="G38" s="293"/>
    </row>
    <row r="39" spans="2:7" ht="15" customHeight="1" x14ac:dyDescent="0.3">
      <c r="B39" s="53" t="s">
        <v>293</v>
      </c>
      <c r="D39" s="100">
        <f t="shared" si="4"/>
        <v>0</v>
      </c>
      <c r="E39" s="31" t="s">
        <v>178</v>
      </c>
      <c r="F39" s="6"/>
      <c r="G39" s="293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3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178</v>
      </c>
      <c r="G41" s="293"/>
    </row>
    <row r="42" spans="2:7" ht="15" customHeight="1" x14ac:dyDescent="0.3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3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3"/>
    </row>
    <row r="45" spans="2:7" ht="15" customHeight="1" x14ac:dyDescent="0.3">
      <c r="B45" s="53" t="s">
        <v>184</v>
      </c>
      <c r="D45" s="100">
        <f t="shared" si="5"/>
        <v>4</v>
      </c>
      <c r="E45" s="31" t="s">
        <v>165</v>
      </c>
      <c r="F45" s="6"/>
      <c r="G45" s="293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3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3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3"/>
    </row>
    <row r="49" spans="2:8" ht="15" customHeight="1" x14ac:dyDescent="0.3">
      <c r="B49" s="1" t="s">
        <v>187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3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2</v>
      </c>
      <c r="E50" s="31" t="s">
        <v>155</v>
      </c>
      <c r="G50" s="293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3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3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3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3"/>
      <c r="H54" s="53"/>
    </row>
    <row r="55" spans="2:8" ht="15" customHeight="1" x14ac:dyDescent="0.3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3"/>
      <c r="H56" s="53"/>
    </row>
    <row r="57" spans="2:8" ht="15" customHeight="1" x14ac:dyDescent="0.3">
      <c r="B57" s="53" t="s">
        <v>192</v>
      </c>
      <c r="D57" s="100">
        <f t="shared" si="7"/>
        <v>2</v>
      </c>
      <c r="E57" s="31" t="s">
        <v>155</v>
      </c>
      <c r="F57" s="53"/>
      <c r="G57" s="293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3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3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3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3"/>
      <c r="H61" s="53"/>
    </row>
    <row r="62" spans="2:8" ht="15" customHeight="1" x14ac:dyDescent="0.3">
      <c r="B62" s="146" t="s">
        <v>193</v>
      </c>
      <c r="D62" s="126">
        <f>1-AVERAGE(D30,D36,D42,D49,D55)</f>
        <v>0.54731292517006802</v>
      </c>
      <c r="E62" s="49" t="str">
        <f>IF(D62&gt;80%,"Very Low",IF(D62&lt;=20%,"Very High",IF(D62&lt;=40%,"High",IF(D62&lt;=60%,"Medium","Low"))))</f>
        <v>Medium</v>
      </c>
      <c r="F62" s="53"/>
      <c r="G62" s="293"/>
      <c r="H62" s="53"/>
    </row>
    <row r="63" spans="2:8" ht="15" customHeight="1" x14ac:dyDescent="0.3">
      <c r="D63" s="6"/>
      <c r="G63" s="293"/>
    </row>
    <row r="64" spans="2:8" ht="15" customHeight="1" x14ac:dyDescent="0.3">
      <c r="B64" s="97" t="s">
        <v>194</v>
      </c>
      <c r="D64" s="94">
        <f>E64*4</f>
        <v>2.4473129251700678</v>
      </c>
      <c r="E64" s="125">
        <f>AVERAGE(AVERAGE(D12:D16)/4,AVERAGE(D18:D22)/4,AVERAGE(D24:D28)/4,D62)</f>
        <v>0.61182823129251696</v>
      </c>
      <c r="G64" s="293"/>
    </row>
    <row r="65" spans="2:7" ht="15" customHeight="1" x14ac:dyDescent="0.3">
      <c r="G65" s="294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2023-03-22T11:39:44Z</dcterms:modified>
  <cp:category/>
  <cp:contentStatus/>
</cp:coreProperties>
</file>