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BA7E9441-C003-42A1-B218-B444178DA1C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E7" i="3"/>
  <c r="E6" i="1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F7" i="7" s="1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E13" i="7" l="1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G8" i="7" s="1"/>
  <c r="D4" i="7"/>
  <c r="F4" i="7"/>
  <c r="E11" i="7"/>
  <c r="I11" i="7" s="1"/>
  <c r="I4" i="7"/>
  <c r="F6" i="7"/>
  <c r="I8" i="7" l="1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4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J26" i="3" s="1"/>
  <c r="D18" i="5" s="1"/>
  <c r="C21" i="4" l="1"/>
  <c r="D60" i="3"/>
  <c r="D21" i="4" l="1"/>
  <c r="G21" i="4" s="1"/>
  <c r="G18" i="4"/>
  <c r="D49" i="3"/>
  <c r="D6" i="3"/>
  <c r="E6" i="3" l="1"/>
  <c r="J10" i="1" l="1"/>
  <c r="F16" i="1" l="1"/>
  <c r="D13" i="4" l="1"/>
  <c r="G13" i="4"/>
  <c r="F18" i="1" l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l="1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G19" i="4" l="1"/>
  <c r="D7" i="3"/>
  <c r="E4" i="4"/>
  <c r="D5" i="4"/>
  <c r="D14" i="4"/>
  <c r="D7" i="4"/>
  <c r="D8" i="4" s="1"/>
  <c r="D9" i="4" s="1"/>
  <c r="H16" i="1" l="1"/>
  <c r="E20" i="4"/>
  <c r="D15" i="4"/>
  <c r="D10" i="4"/>
  <c r="E13" i="4"/>
  <c r="E14" i="4" s="1"/>
  <c r="E7" i="4"/>
  <c r="E8" i="4" s="1"/>
  <c r="E9" i="4" s="1"/>
  <c r="E5" i="4"/>
  <c r="J16" i="1" l="1"/>
  <c r="J18" i="1"/>
  <c r="E15" i="4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30" i="4" s="1"/>
  <c r="E25" i="4"/>
  <c r="G25" i="4" s="1"/>
  <c r="C30" i="4" s="1"/>
  <c r="D14" i="1" l="1"/>
  <c r="F46" i="1" s="1"/>
  <c r="F14" i="1"/>
  <c r="D30" i="4"/>
  <c r="C33" i="4"/>
  <c r="C34" i="4"/>
  <c r="I35" i="1" s="1"/>
  <c r="F45" i="1" s="1"/>
  <c r="F42" i="1" s="1"/>
  <c r="E42" i="1" s="1"/>
  <c r="F48" i="1" s="1"/>
  <c r="G15" i="4"/>
  <c r="F49" i="1" l="1"/>
  <c r="E50" i="1" s="1"/>
  <c r="I36" i="1"/>
  <c r="E34" i="4"/>
  <c r="F34" i="4"/>
  <c r="F33" i="4"/>
  <c r="H14" i="1"/>
  <c r="J25" i="1" s="1"/>
  <c r="E33" i="4"/>
  <c r="E49" i="1" l="1"/>
  <c r="B17" i="1"/>
  <c r="D18" i="1"/>
  <c r="D16" i="1"/>
  <c r="D17" i="1" l="1"/>
  <c r="F17" i="1"/>
  <c r="J17" i="1"/>
  <c r="F50" i="1" l="1"/>
</calcChain>
</file>

<file path=xl/sharedStrings.xml><?xml version="1.0" encoding="utf-8"?>
<sst xmlns="http://schemas.openxmlformats.org/spreadsheetml/2006/main" count="406" uniqueCount="340">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</sst>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4" zoomScaleNormal="100" workbookViewId="0">
      <selection activeCell="F49" sqref="F4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7" t="s">
        <v>301</v>
      </c>
      <c r="D3" s="418"/>
      <c r="E3" s="15"/>
      <c r="G3" s="7" t="s">
        <v>2</v>
      </c>
      <c r="I3" s="427" t="s">
        <v>3</v>
      </c>
      <c r="J3" s="428"/>
    </row>
    <row r="4" spans="1:12" ht="15.75" customHeight="1" x14ac:dyDescent="0.3">
      <c r="B4" s="5" t="s">
        <v>4</v>
      </c>
      <c r="C4" s="419" t="s">
        <v>302</v>
      </c>
      <c r="D4" s="420"/>
      <c r="E4" s="6"/>
      <c r="G4" s="5" t="s">
        <v>5</v>
      </c>
      <c r="I4" s="32">
        <v>4.2</v>
      </c>
      <c r="J4" s="33" t="s">
        <v>6</v>
      </c>
      <c r="K4" s="152"/>
    </row>
    <row r="5" spans="1:12" ht="15.75" customHeight="1" x14ac:dyDescent="0.3">
      <c r="B5" s="5" t="s">
        <v>7</v>
      </c>
      <c r="C5" s="421">
        <v>43647</v>
      </c>
      <c r="D5" s="420"/>
      <c r="E5" s="122" t="str">
        <f ca="1">IF(C5+30&gt;=TODAY(),"Patience Premium","")</f>
        <v/>
      </c>
      <c r="G5" s="5" t="s">
        <v>8</v>
      </c>
      <c r="I5" s="410">
        <v>28698864088</v>
      </c>
      <c r="J5" s="411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429">
        <f>I4*I5/1000000</f>
        <v>120535.2291696</v>
      </c>
      <c r="J6" s="430"/>
      <c r="K6" s="151"/>
    </row>
    <row r="7" spans="1:12" ht="15.75" customHeight="1" x14ac:dyDescent="0.3">
      <c r="B7" s="139" t="s">
        <v>10</v>
      </c>
      <c r="C7" s="145">
        <f>(Data!C39)/I4</f>
        <v>4.9470010063281049E-2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10.265698004275913</v>
      </c>
      <c r="J9" s="48">
        <f>IF(I9="NNI","NNI",1/I9)</f>
        <v>9.7411788227500518E-2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0.58018847892640169</v>
      </c>
      <c r="J10" s="130">
        <f>IF(Asset_Model!D60/'FCFF Model'!C4&lt;0,"Negative EV",Asset_Model!D60/'FCFF Model'!C4)</f>
        <v>4.7947161508972451</v>
      </c>
    </row>
    <row r="11" spans="1:12" ht="15.75" customHeight="1" thickBot="1" x14ac:dyDescent="0.35">
      <c r="B11" s="312" t="s">
        <v>275</v>
      </c>
      <c r="C11" s="438">
        <f ca="1">C12-D10</f>
        <v>5.1000000000000004E-2</v>
      </c>
      <c r="D11" s="439"/>
      <c r="E11" s="13"/>
      <c r="G11" s="5" t="s">
        <v>15</v>
      </c>
      <c r="H11" s="6"/>
      <c r="I11" s="436" t="s">
        <v>303</v>
      </c>
      <c r="J11" s="437"/>
    </row>
    <row r="12" spans="1:12" ht="15.75" customHeight="1" thickTop="1" x14ac:dyDescent="0.3">
      <c r="B12" s="313" t="s">
        <v>148</v>
      </c>
      <c r="C12" s="367">
        <f ca="1">IF(C10="CN",8%,6%)*IF($C$5+30&gt;=TODAY(),1.2,1)</f>
        <v>0.08</v>
      </c>
      <c r="D12" s="368"/>
      <c r="G12" s="134" t="s">
        <v>16</v>
      </c>
      <c r="H12" s="133"/>
      <c r="I12" s="135">
        <v>1.1396682895075876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Model'!C30,'FCFF Model'!E30)</f>
        <v>1.719777259078529</v>
      </c>
      <c r="E14" s="127" t="s">
        <v>232</v>
      </c>
      <c r="F14" s="184">
        <f ca="1">MAX('FCFF Model'!C30,'FCFF Model'!E30)</f>
        <v>6.5577198831257792</v>
      </c>
      <c r="G14" s="185" t="s">
        <v>24</v>
      </c>
      <c r="H14" s="193">
        <f ca="1">IF('FCFF Model'!C33&lt;0, "Error", 'FCFF Model'!C33)</f>
        <v>3.5247083363527558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4.2</v>
      </c>
      <c r="C16" s="375">
        <v>0.1</v>
      </c>
      <c r="D16" s="159">
        <f ca="1">H14/B16-1-C16</f>
        <v>-0.26078372943982009</v>
      </c>
      <c r="E16" s="372">
        <f>'FCFF Model'!D11*Exchange_Rate</f>
        <v>0.20514029211136575</v>
      </c>
      <c r="F16" s="161">
        <f>E16/B16</f>
        <v>4.8842926693182319E-2</v>
      </c>
      <c r="G16" s="400" t="s">
        <v>25</v>
      </c>
      <c r="H16" s="431">
        <f>('FCFF Model'!G19)*Exchange_Rate</f>
        <v>0.65985925846558635</v>
      </c>
      <c r="I16" s="400" t="s">
        <v>26</v>
      </c>
      <c r="J16" s="206">
        <f>B16-$H$16</f>
        <v>3.5401407415344139</v>
      </c>
    </row>
    <row r="17" spans="1:10" ht="15.75" customHeight="1" x14ac:dyDescent="0.3">
      <c r="B17" s="289">
        <f ca="1">H14/(1+C16)</f>
        <v>3.2042803057752325</v>
      </c>
      <c r="C17" s="376"/>
      <c r="D17" s="288">
        <f ca="1">H14/B17-1-C16</f>
        <v>0</v>
      </c>
      <c r="E17" s="373"/>
      <c r="F17" s="162">
        <f ca="1">E16/B17</f>
        <v>6.4020707471075883E-2</v>
      </c>
      <c r="G17" s="401"/>
      <c r="H17" s="432"/>
      <c r="I17" s="401"/>
      <c r="J17" s="205">
        <f ca="1">B17-$H$16</f>
        <v>2.5444210473096462</v>
      </c>
    </row>
    <row r="18" spans="1:10" ht="15.75" customHeight="1" x14ac:dyDescent="0.3">
      <c r="B18" s="352">
        <f>C35</f>
        <v>2.4</v>
      </c>
      <c r="C18" s="377"/>
      <c r="D18" s="160">
        <f ca="1">H14/B18-1-C16</f>
        <v>0.36862847348031502</v>
      </c>
      <c r="E18" s="374"/>
      <c r="F18" s="163">
        <f>E16/B18</f>
        <v>8.5475121713069063E-2</v>
      </c>
      <c r="G18" s="402"/>
      <c r="H18" s="433"/>
      <c r="I18" s="402"/>
      <c r="J18" s="207">
        <f>B18-$H$16</f>
        <v>1.7401407415344137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24" t="s">
        <v>310</v>
      </c>
      <c r="D21" s="425"/>
      <c r="E21" s="425"/>
      <c r="F21" s="425"/>
      <c r="G21" s="425"/>
      <c r="H21" s="425"/>
      <c r="I21" s="425"/>
      <c r="J21" s="426"/>
    </row>
    <row r="22" spans="1:10" ht="52.5" customHeight="1" x14ac:dyDescent="0.3">
      <c r="A22" s="6"/>
      <c r="B22" s="24" t="s">
        <v>29</v>
      </c>
      <c r="C22" s="435"/>
      <c r="D22" s="379"/>
      <c r="E22" s="379"/>
      <c r="F22" s="379"/>
      <c r="G22" s="435"/>
      <c r="H22" s="435"/>
      <c r="I22" s="379"/>
      <c r="J22" s="379"/>
    </row>
    <row r="23" spans="1:10" ht="52.5" customHeight="1" x14ac:dyDescent="0.3">
      <c r="A23" s="6"/>
      <c r="B23" s="25" t="s">
        <v>30</v>
      </c>
      <c r="C23" s="398"/>
      <c r="D23" s="399"/>
      <c r="E23" s="399"/>
      <c r="F23" s="399"/>
      <c r="G23" s="398"/>
      <c r="H23" s="398"/>
      <c r="I23" s="399"/>
      <c r="J23" s="39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2.8197666690822047</v>
      </c>
    </row>
    <row r="26" spans="1:10" ht="15.75" customHeight="1" x14ac:dyDescent="0.3">
      <c r="B26" s="23" t="s">
        <v>33</v>
      </c>
      <c r="C26" s="422">
        <v>43665</v>
      </c>
      <c r="D26" s="423"/>
      <c r="E26" s="380" t="str">
        <f>IF(C26="","","Action_Planning")</f>
        <v>Action_Planning</v>
      </c>
      <c r="F26" s="381"/>
      <c r="G26" s="381"/>
      <c r="H26" s="382"/>
      <c r="I26" s="434" t="s">
        <v>34</v>
      </c>
      <c r="J26" s="434"/>
    </row>
    <row r="27" spans="1:10" ht="15.75" customHeight="1" x14ac:dyDescent="0.3">
      <c r="B27" s="23" t="s">
        <v>35</v>
      </c>
      <c r="C27" s="371">
        <f>C31/D25</f>
        <v>0.187</v>
      </c>
      <c r="D27" s="370"/>
      <c r="E27" s="369">
        <f>E31/D25</f>
        <v>0.08</v>
      </c>
      <c r="F27" s="370"/>
      <c r="G27" s="404">
        <f>G31/D25</f>
        <v>0</v>
      </c>
      <c r="H27" s="405"/>
      <c r="I27" s="403">
        <f>C27+E27+G27</f>
        <v>0.26700000000000002</v>
      </c>
      <c r="J27" s="403"/>
    </row>
    <row r="28" spans="1:10" ht="15.75" customHeight="1" x14ac:dyDescent="0.3">
      <c r="B28" s="23" t="s">
        <v>36</v>
      </c>
      <c r="C28" s="365">
        <v>20000</v>
      </c>
      <c r="D28" s="379"/>
      <c r="E28" s="365">
        <v>20000</v>
      </c>
      <c r="F28" s="379"/>
      <c r="G28" s="410"/>
      <c r="H28" s="411"/>
      <c r="I28" s="414">
        <f>C28+E28+G28</f>
        <v>40000</v>
      </c>
      <c r="J28" s="414"/>
    </row>
    <row r="29" spans="1:10" ht="15.75" customHeight="1" x14ac:dyDescent="0.3">
      <c r="B29" s="23" t="s">
        <v>37</v>
      </c>
      <c r="C29" s="378">
        <v>5.61</v>
      </c>
      <c r="D29" s="379"/>
      <c r="E29" s="378">
        <v>2.4</v>
      </c>
      <c r="F29" s="379"/>
      <c r="G29" s="406"/>
      <c r="H29" s="407"/>
      <c r="I29" s="412"/>
      <c r="J29" s="412"/>
    </row>
    <row r="30" spans="1:10" ht="15.75" customHeight="1" x14ac:dyDescent="0.3">
      <c r="B30" s="23" t="s">
        <v>38</v>
      </c>
      <c r="C30" s="391">
        <f>C29*$I$5/1000000</f>
        <v>161000.62753368003</v>
      </c>
      <c r="D30" s="392"/>
      <c r="E30" s="391">
        <f>E29*$I$5/1000000</f>
        <v>68877.273811199993</v>
      </c>
      <c r="F30" s="392"/>
      <c r="G30" s="408">
        <f>G29*$I$5/1000000</f>
        <v>0</v>
      </c>
      <c r="H30" s="409"/>
      <c r="I30" s="413"/>
      <c r="J30" s="413"/>
    </row>
    <row r="31" spans="1:10" ht="15.75" customHeight="1" x14ac:dyDescent="0.3">
      <c r="B31" s="2" t="s">
        <v>39</v>
      </c>
      <c r="C31" s="393">
        <f>C28*C29</f>
        <v>112200</v>
      </c>
      <c r="D31" s="394"/>
      <c r="E31" s="395">
        <f>E28*E29</f>
        <v>48000</v>
      </c>
      <c r="F31" s="396"/>
      <c r="G31" s="415">
        <f>G28*G29</f>
        <v>0</v>
      </c>
      <c r="H31" s="416"/>
      <c r="I31" s="395">
        <f>C31+E31+G31</f>
        <v>160200</v>
      </c>
      <c r="J31" s="395"/>
    </row>
    <row r="32" spans="1:10" ht="15.75" customHeight="1" x14ac:dyDescent="0.3">
      <c r="B32" s="1" t="s">
        <v>40</v>
      </c>
      <c r="C32" s="387"/>
      <c r="D32" s="388"/>
      <c r="E32" s="397">
        <f>IF(C31=0,"-",(C31+E31)/(C28+E28))</f>
        <v>4.0049999999999999</v>
      </c>
      <c r="F32" s="370"/>
      <c r="G32" s="117"/>
      <c r="H32" s="117"/>
      <c r="I32" s="397">
        <f>IF(I31=0,"",I31/I28)</f>
        <v>4.0049999999999999</v>
      </c>
      <c r="J32" s="397"/>
    </row>
    <row r="33" spans="2:10" ht="15.75" customHeight="1" x14ac:dyDescent="0.3">
      <c r="B33" s="1" t="s">
        <v>41</v>
      </c>
      <c r="C33" s="389"/>
      <c r="D33" s="390"/>
      <c r="E33" s="391">
        <f>IF(E32="-","-",E32*$I$5/1000000)</f>
        <v>114938.95067244</v>
      </c>
      <c r="F33" s="392"/>
      <c r="G33" s="118"/>
      <c r="H33" s="118"/>
      <c r="I33" s="391">
        <f>IF(I32="","",I32*$I$5/1000000)</f>
        <v>114938.95067244</v>
      </c>
      <c r="J33" s="391"/>
    </row>
    <row r="34" spans="2:10" ht="15.75" customHeight="1" x14ac:dyDescent="0.3"/>
    <row r="35" spans="2:10" ht="15.75" customHeight="1" x14ac:dyDescent="0.3">
      <c r="B35" s="146" t="s">
        <v>320</v>
      </c>
      <c r="C35" s="383">
        <f>E29</f>
        <v>2.4</v>
      </c>
      <c r="D35" s="384"/>
      <c r="G35" s="385" t="s">
        <v>321</v>
      </c>
      <c r="H35" s="386"/>
      <c r="I35" s="383">
        <f ca="1">'FCFF Model'!C34*0.8</f>
        <v>5.6079606298354916</v>
      </c>
      <c r="J35" s="384"/>
    </row>
    <row r="36" spans="2:10" ht="15.75" customHeight="1" x14ac:dyDescent="0.3">
      <c r="B36" s="146" t="s">
        <v>322</v>
      </c>
      <c r="C36" s="365">
        <v>20000</v>
      </c>
      <c r="D36" s="366"/>
      <c r="G36" s="362" t="s">
        <v>328</v>
      </c>
      <c r="H36" s="362"/>
      <c r="I36" s="363">
        <f ca="1">I35/C29-1</f>
        <v>-3.6352409349527104E-4</v>
      </c>
      <c r="J36" s="364"/>
    </row>
    <row r="37" spans="2:10" ht="15.75" customHeight="1" x14ac:dyDescent="0.3"/>
    <row r="38" spans="2:10" ht="15.75" customHeight="1" x14ac:dyDescent="0.3">
      <c r="B38" s="21" t="s">
        <v>329</v>
      </c>
      <c r="G38" s="346" t="s">
        <v>139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0.32</v>
      </c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332</v>
      </c>
      <c r="E41" s="354"/>
      <c r="F41" s="355">
        <f>'Qualitative Analysis'!E64</f>
        <v>0.37307823129251699</v>
      </c>
    </row>
    <row r="42" spans="2:10" ht="15.75" customHeight="1" x14ac:dyDescent="0.3">
      <c r="B42" s="3" t="s">
        <v>338</v>
      </c>
      <c r="E42" s="354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339</v>
      </c>
      <c r="F43" s="361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333</v>
      </c>
      <c r="F45" s="355">
        <f ca="1">I35/C29-1</f>
        <v>-3.6352409349527104E-4</v>
      </c>
    </row>
    <row r="46" spans="2:10" ht="15.75" customHeight="1" x14ac:dyDescent="0.3">
      <c r="B46" s="3" t="s">
        <v>334</v>
      </c>
      <c r="F46" s="355">
        <f ca="1">D14/C29-1</f>
        <v>-0.69344433884518208</v>
      </c>
    </row>
    <row r="47" spans="2:10" ht="15.75" customHeight="1" x14ac:dyDescent="0.3"/>
    <row r="48" spans="2:10" ht="15.75" customHeight="1" x14ac:dyDescent="0.3">
      <c r="B48" s="3" t="s">
        <v>335</v>
      </c>
      <c r="F48" s="214">
        <f ca="1">IF(F45&lt;=0,0,AVERAGE(F39:F41,1-F43,E42))</f>
        <v>0</v>
      </c>
    </row>
    <row r="49" spans="2:6" ht="15.75" customHeight="1" x14ac:dyDescent="0.3">
      <c r="B49" s="3" t="s">
        <v>336</v>
      </c>
      <c r="E49" s="358">
        <f ca="1">F45/ABS(F46)</f>
        <v>-5.2422966506678937E-4</v>
      </c>
      <c r="F49" s="356">
        <f ca="1">IF(F46&gt;=0,100,F45/ABS(F46))</f>
        <v>-5.2422966506678937E-4</v>
      </c>
    </row>
    <row r="50" spans="2:6" ht="15.75" customHeight="1" x14ac:dyDescent="0.3">
      <c r="B50" s="3" t="s">
        <v>337</v>
      </c>
      <c r="E50" s="107">
        <f ca="1">MAX(F48-ABS((1-F48)/F49),0)/2</f>
        <v>0</v>
      </c>
      <c r="F50" s="357">
        <f ca="1">MIN(E50,H50)</f>
        <v>0</v>
      </c>
    </row>
    <row r="51" spans="2:6" ht="15.75" customHeight="1" x14ac:dyDescent="0.3"/>
    <row r="52" spans="2:6" ht="15.75" customHeight="1" x14ac:dyDescent="0.3"/>
    <row r="53" spans="2:6" ht="15.75" customHeight="1" x14ac:dyDescent="0.3"/>
    <row r="54" spans="2:6" ht="15.75" customHeight="1" x14ac:dyDescent="0.3"/>
    <row r="55" spans="2:6" ht="15.75" customHeight="1" x14ac:dyDescent="0.3"/>
    <row r="56" spans="2:6" ht="15.75" customHeight="1" x14ac:dyDescent="0.3"/>
    <row r="57" spans="2:6" ht="15.75" customHeight="1" x14ac:dyDescent="0.3"/>
    <row r="58" spans="2:6" ht="15.75" customHeight="1" x14ac:dyDescent="0.3"/>
    <row r="59" spans="2:6" ht="15.75" customHeight="1" x14ac:dyDescent="0.3"/>
    <row r="60" spans="2:6" ht="15.75" customHeight="1" x14ac:dyDescent="0.3"/>
    <row r="61" spans="2:6" ht="15.75" customHeight="1" x14ac:dyDescent="0.3"/>
    <row r="62" spans="2:6" ht="15.75" customHeight="1" x14ac:dyDescent="0.3"/>
    <row r="63" spans="2:6" ht="15.75" customHeight="1" x14ac:dyDescent="0.3"/>
    <row r="64" spans="2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5.9299556943938567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MAX(((D6+MIN('FCFF Model'!D4,0))*Dashboard!I12*Data!C4)/Dashboard!I5,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40">
        <f>D53+D54+D55</f>
        <v>25367201</v>
      </c>
      <c r="E52" s="441"/>
      <c r="F52" s="53"/>
      <c r="G52" s="53"/>
    </row>
    <row r="53" spans="2:9" ht="14.5" thickTop="1" x14ac:dyDescent="0.3">
      <c r="B53" s="58" t="s">
        <v>234</v>
      </c>
      <c r="C53" s="6"/>
      <c r="D53" s="443">
        <f>SUM(I11:I13)+SUM(I28:I30)</f>
        <v>25367201</v>
      </c>
      <c r="E53" s="394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48">
        <v>0</v>
      </c>
      <c r="E54" s="379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48">
        <v>0</v>
      </c>
      <c r="E55" s="379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42"/>
      <c r="E57" s="442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46">
        <f>((Dashboard!I6*Data!C4)+D52+E50-C58-C59)</f>
        <v>92354306.16960001</v>
      </c>
      <c r="E60" s="44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363">
        <f>((C26-C11-C12-C14-C15-C16*G16-C19*G19-C20*G20)-I26)/Data!C7</f>
        <v>-2.8753814455569179E-2</v>
      </c>
      <c r="E63" s="364"/>
    </row>
    <row r="64" spans="2:9" ht="15" customHeight="1" x14ac:dyDescent="0.3">
      <c r="B64" s="3" t="s">
        <v>265</v>
      </c>
      <c r="D64" s="444">
        <v>1.32E-2</v>
      </c>
      <c r="E64" s="445"/>
      <c r="F64" s="265" t="s">
        <v>250</v>
      </c>
    </row>
    <row r="65" spans="2:5" ht="15" customHeight="1" x14ac:dyDescent="0.3">
      <c r="B65" s="291" t="s">
        <v>267</v>
      </c>
      <c r="D65" s="444">
        <f>D64</f>
        <v>1.32E-2</v>
      </c>
      <c r="E65" s="44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dxfId="2" priority="6">
      <formula>LEN(TRIM(I16))=0</formula>
    </cfRule>
    <cfRule type="containsBlanks" priority="7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1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1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54" t="s">
        <v>229</v>
      </c>
      <c r="F23" s="454"/>
      <c r="G23" s="454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52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53"/>
      <c r="G26" s="207">
        <f ca="1">$F$25+E26+$G$19</f>
        <v>5.7540601449559938</v>
      </c>
      <c r="I26" s="74"/>
    </row>
    <row r="27" spans="1:9" ht="15.75" customHeight="1" x14ac:dyDescent="0.3">
      <c r="B27" s="30"/>
      <c r="C27" s="359"/>
      <c r="D27" s="360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150</v>
      </c>
      <c r="C30" s="251">
        <f ca="1">MIN(Asset_Model!D7,G25*Exchange_Rate)+(ABS(Asset_Model!D7-G25*Exchange_Rate)*'Qualitative Analysis'!E8)*Exchange_Rate</f>
        <v>1.719777259078529</v>
      </c>
      <c r="D30" s="23" t="str">
        <f ca="1">IF(C30&lt;E30,"&lt;",IF(C30=E30,"=","&gt;"))</f>
        <v>&lt;</v>
      </c>
      <c r="E30" s="250">
        <f ca="1">G26*Exchange_Rate</f>
        <v>6.5577198831257792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9" t="s">
        <v>151</v>
      </c>
      <c r="D32" s="450"/>
      <c r="E32" s="30" t="s">
        <v>217</v>
      </c>
      <c r="F32" s="30" t="s">
        <v>18</v>
      </c>
      <c r="G32" s="30"/>
      <c r="H32" s="6"/>
    </row>
    <row r="33" spans="2:9" ht="15.75" customHeight="1" x14ac:dyDescent="0.3">
      <c r="B33" s="255" t="s">
        <v>231</v>
      </c>
      <c r="C33" s="252">
        <f ca="1">MIN(C30,E30)+ABS(C30-E30)*'Qualitative Analysis'!$E$64</f>
        <v>3.5247083363527558</v>
      </c>
      <c r="D33" s="119" t="str">
        <f>Dashboard!J4</f>
        <v>HKD</v>
      </c>
      <c r="E33" s="120">
        <f ca="1">(C33-G19)/C9</f>
        <v>7.2616760482382903</v>
      </c>
      <c r="F33" s="158">
        <f ca="1">C33/(Data!C28*Exchange_Rate*Data!C4/Common_Shares)</f>
        <v>0.48690361150659839</v>
      </c>
      <c r="G33" s="87"/>
      <c r="H33" s="6"/>
      <c r="I33" s="74"/>
    </row>
    <row r="34" spans="2:9" ht="15.75" customHeight="1" x14ac:dyDescent="0.3">
      <c r="B34" s="254" t="s">
        <v>230</v>
      </c>
      <c r="C34" s="253">
        <f ca="1">MAX(Asset_Model!D7,(G12/(1+G34)^G4+F25+G19)*Exchange_Rate)</f>
        <v>7.0099507872943638</v>
      </c>
      <c r="D34" s="208" t="str">
        <f>D33</f>
        <v>HKD</v>
      </c>
      <c r="E34" s="120">
        <f ca="1">(C34-G19)/C9</f>
        <v>15.853373967107105</v>
      </c>
      <c r="F34" s="158">
        <f ca="1">C34/(Data!C28*Exchange_Rate*Data!C4/Common_Shares)</f>
        <v>0.9683554011022022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2023-03-22T11:39:55Z</dcterms:modified>
  <cp:category/>
  <cp:contentStatus/>
</cp:coreProperties>
</file>