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E0F15B8-697E-40FA-8577-AF76218854F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4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F45" i="1" s="1"/>
  <c r="E25" i="4"/>
  <c r="G25" i="4" s="1"/>
  <c r="E26" i="4"/>
  <c r="G26" i="4" s="1"/>
  <c r="E30" i="4" s="1"/>
  <c r="F48" i="1" l="1"/>
  <c r="F42" i="1"/>
  <c r="E42" i="1" s="1"/>
  <c r="I36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l="1"/>
  <c r="D14" i="1"/>
  <c r="F46" i="1" s="1"/>
  <c r="C33" i="4"/>
  <c r="H14" i="1" s="1"/>
  <c r="J25" i="1" s="1"/>
  <c r="D30" i="4"/>
  <c r="F49" i="1" l="1"/>
  <c r="E50" i="1" s="1"/>
  <c r="F50" i="1" s="1"/>
  <c r="E49" i="1"/>
  <c r="F33" i="4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<sst xmlns="http://schemas.openxmlformats.org/spreadsheetml/2006/main" count="398" uniqueCount="336">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</sst>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5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7" zoomScaleNormal="100" workbookViewId="0">
      <selection activeCell="F51" sqref="F51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4" t="s">
        <v>301</v>
      </c>
      <c r="D3" s="405"/>
      <c r="E3" s="15"/>
      <c r="G3" s="7" t="s">
        <v>2</v>
      </c>
      <c r="I3" s="414" t="s">
        <v>3</v>
      </c>
      <c r="J3" s="415"/>
    </row>
    <row r="4" spans="1:12" ht="15.75" customHeight="1" x14ac:dyDescent="0.3">
      <c r="B4" s="5" t="s">
        <v>4</v>
      </c>
      <c r="C4" s="406" t="s">
        <v>302</v>
      </c>
      <c r="D4" s="407"/>
      <c r="E4" s="6"/>
      <c r="G4" s="5" t="s">
        <v>5</v>
      </c>
      <c r="I4" s="32">
        <v>5.83</v>
      </c>
      <c r="J4" s="33" t="s">
        <v>6</v>
      </c>
      <c r="K4" s="152"/>
    </row>
    <row r="5" spans="1:12" ht="15.75" customHeight="1" x14ac:dyDescent="0.3">
      <c r="B5" s="5" t="s">
        <v>7</v>
      </c>
      <c r="C5" s="408">
        <v>44501</v>
      </c>
      <c r="D5" s="407"/>
      <c r="E5" s="122" t="str">
        <f ca="1">IF(C5+30&gt;=TODAY(),"Patience Premium","")</f>
        <v/>
      </c>
      <c r="G5" s="5" t="s">
        <v>8</v>
      </c>
      <c r="I5" s="372">
        <v>9068251704</v>
      </c>
      <c r="J5" s="373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416">
        <f>I4*I5/1000000</f>
        <v>52867.907434319997</v>
      </c>
      <c r="J6" s="417"/>
      <c r="K6" s="151"/>
    </row>
    <row r="7" spans="1:12" ht="15.75" customHeight="1" x14ac:dyDescent="0.3">
      <c r="B7" s="139" t="s">
        <v>10</v>
      </c>
      <c r="C7" s="145">
        <f>(Data!C39)/I4</f>
        <v>6.4165221674687453E-2</v>
      </c>
      <c r="D7" s="145">
        <f>(Data!C40)/I4</f>
        <v>6.8966981614124812E-3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6.7513547220353152</v>
      </c>
      <c r="J9" s="48">
        <f>IF(I9="NNI","NNI",1/I9)</f>
        <v>0.1481184208461398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2.0706195253085773</v>
      </c>
      <c r="J10" s="130">
        <f>IF(Asset_Model!D60/'FCFF Model'!C4&lt;0,"Negative EV",Asset_Model!D60/'FCFF Model'!C4)</f>
        <v>6.6169258002141103</v>
      </c>
    </row>
    <row r="11" spans="1:12" ht="15.75" customHeight="1" thickBot="1" x14ac:dyDescent="0.35">
      <c r="B11" s="313" t="s">
        <v>276</v>
      </c>
      <c r="C11" s="384">
        <f ca="1">C12-D10</f>
        <v>5.1000000000000004E-2</v>
      </c>
      <c r="D11" s="385"/>
      <c r="E11" s="13"/>
      <c r="G11" s="5" t="s">
        <v>15</v>
      </c>
      <c r="H11" s="6"/>
      <c r="I11" s="381" t="s">
        <v>303</v>
      </c>
      <c r="J11" s="382"/>
    </row>
    <row r="12" spans="1:12" ht="15.75" customHeight="1" thickTop="1" x14ac:dyDescent="0.3">
      <c r="B12" s="314" t="s">
        <v>150</v>
      </c>
      <c r="C12" s="386">
        <f ca="1">IF(C10="CN",8%,6%)*IF($C$5+30&gt;=TODAY(),1.2,1)</f>
        <v>0.08</v>
      </c>
      <c r="D12" s="387"/>
      <c r="G12" s="134" t="s">
        <v>16</v>
      </c>
      <c r="H12" s="133"/>
      <c r="I12" s="135">
        <v>1.1396682895075876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Model'!C30,'FCFF Model'!E30)</f>
        <v>3.0033380402709549</v>
      </c>
      <c r="E14" s="127" t="s">
        <v>235</v>
      </c>
      <c r="F14" s="184">
        <f ca="1">MAX('FCFF Model'!C30,'FCFF Model'!E30)</f>
        <v>8.4422831256782178</v>
      </c>
      <c r="G14" s="185" t="s">
        <v>24</v>
      </c>
      <c r="H14" s="193">
        <f ca="1">IF('FCFF Model'!C33&lt;0, "Error", 'FCFF Model'!C33)</f>
        <v>6.3150358535412527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5.83</v>
      </c>
      <c r="C16" s="396">
        <v>0.1</v>
      </c>
      <c r="D16" s="159">
        <f ca="1">H14/B16-1-C16</f>
        <v>-1.6803455653301352E-2</v>
      </c>
      <c r="E16" s="391">
        <f>'FCFF Model'!D11*Exchange_Rate</f>
        <v>0.30964787425921153</v>
      </c>
      <c r="F16" s="161">
        <f>E16/B16</f>
        <v>5.3112842926108322E-2</v>
      </c>
      <c r="G16" s="399" t="s">
        <v>25</v>
      </c>
      <c r="H16" s="418">
        <f>('FCFF Model'!G19)*Exchange_Rate</f>
        <v>1.5430438993573794</v>
      </c>
      <c r="I16" s="399" t="s">
        <v>26</v>
      </c>
      <c r="J16" s="206">
        <f>B16-$H$16</f>
        <v>4.2869561006426204</v>
      </c>
    </row>
    <row r="17" spans="1:10" ht="15.75" customHeight="1" x14ac:dyDescent="0.3">
      <c r="B17" s="290">
        <f ca="1">H14/(1+C16)</f>
        <v>5.7409416850375017</v>
      </c>
      <c r="C17" s="397"/>
      <c r="D17" s="289">
        <f ca="1">H14/B17-1-C16</f>
        <v>0</v>
      </c>
      <c r="E17" s="392"/>
      <c r="F17" s="162">
        <f ca="1">E16/B17</f>
        <v>5.3936774008041297E-2</v>
      </c>
      <c r="G17" s="400"/>
      <c r="H17" s="419"/>
      <c r="I17" s="400"/>
      <c r="J17" s="205">
        <f ca="1">B17-$H$16</f>
        <v>4.1978977856801221</v>
      </c>
    </row>
    <row r="18" spans="1:10" ht="15.75" customHeight="1" x14ac:dyDescent="0.3">
      <c r="B18" s="350">
        <f>C35</f>
        <v>4.8</v>
      </c>
      <c r="C18" s="398"/>
      <c r="D18" s="160">
        <f ca="1">H14/B18-1-C16</f>
        <v>0.21563246948776102</v>
      </c>
      <c r="E18" s="393"/>
      <c r="F18" s="163">
        <f>E16/B18</f>
        <v>6.4509973804002405E-2</v>
      </c>
      <c r="G18" s="401"/>
      <c r="H18" s="420"/>
      <c r="I18" s="401"/>
      <c r="J18" s="207">
        <f>B18-$H$16</f>
        <v>3.2569561006426202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1"/>
      <c r="D21" s="412"/>
      <c r="E21" s="412"/>
      <c r="F21" s="412"/>
      <c r="G21" s="412"/>
      <c r="H21" s="412"/>
      <c r="I21" s="412"/>
      <c r="J21" s="413"/>
    </row>
    <row r="22" spans="1:10" ht="52.5" customHeight="1" x14ac:dyDescent="0.3">
      <c r="A22" s="6"/>
      <c r="B22" s="24" t="s">
        <v>29</v>
      </c>
      <c r="C22" s="383"/>
      <c r="D22" s="378"/>
      <c r="E22" s="378"/>
      <c r="F22" s="378"/>
      <c r="G22" s="383"/>
      <c r="H22" s="383"/>
      <c r="I22" s="378"/>
      <c r="J22" s="378"/>
    </row>
    <row r="23" spans="1:10" ht="52.5" customHeight="1" x14ac:dyDescent="0.3">
      <c r="A23" s="6"/>
      <c r="B23" s="25" t="s">
        <v>30</v>
      </c>
      <c r="C23" s="394"/>
      <c r="D23" s="395"/>
      <c r="E23" s="395"/>
      <c r="F23" s="395"/>
      <c r="G23" s="394"/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5.0520286828330025</v>
      </c>
    </row>
    <row r="26" spans="1:10" ht="15.75" customHeight="1" x14ac:dyDescent="0.3">
      <c r="B26" s="23" t="s">
        <v>33</v>
      </c>
      <c r="C26" s="409">
        <v>44501</v>
      </c>
      <c r="D26" s="410"/>
      <c r="E26" s="388" t="str">
        <f>IF(C26="","","Action_Planning")</f>
        <v>Action_Planning</v>
      </c>
      <c r="F26" s="389"/>
      <c r="G26" s="389"/>
      <c r="H26" s="390"/>
      <c r="I26" s="421" t="s">
        <v>34</v>
      </c>
      <c r="J26" s="421"/>
    </row>
    <row r="27" spans="1:10" ht="15.75" customHeight="1" x14ac:dyDescent="0.3">
      <c r="B27" s="23" t="s">
        <v>35</v>
      </c>
      <c r="C27" s="368">
        <f>C31/D25</f>
        <v>7.3866666666666664E-2</v>
      </c>
      <c r="D27" s="367"/>
      <c r="E27" s="366">
        <f>E31/D25</f>
        <v>6.4000000000000001E-2</v>
      </c>
      <c r="F27" s="367"/>
      <c r="G27" s="370">
        <f>G31/D25</f>
        <v>0</v>
      </c>
      <c r="H27" s="371"/>
      <c r="I27" s="369">
        <f>C27+E27+G27</f>
        <v>0.13786666666666667</v>
      </c>
      <c r="J27" s="369"/>
    </row>
    <row r="28" spans="1:10" ht="15.75" customHeight="1" x14ac:dyDescent="0.3">
      <c r="B28" s="23" t="s">
        <v>36</v>
      </c>
      <c r="C28" s="402">
        <v>4000</v>
      </c>
      <c r="D28" s="378"/>
      <c r="E28" s="402">
        <v>8000</v>
      </c>
      <c r="F28" s="378"/>
      <c r="G28" s="372"/>
      <c r="H28" s="373"/>
      <c r="I28" s="427">
        <f>C28+E28+G28</f>
        <v>12000</v>
      </c>
      <c r="J28" s="427"/>
    </row>
    <row r="29" spans="1:10" ht="15.75" customHeight="1" x14ac:dyDescent="0.3">
      <c r="B29" s="23" t="s">
        <v>37</v>
      </c>
      <c r="C29" s="377">
        <v>11.08</v>
      </c>
      <c r="D29" s="378"/>
      <c r="E29" s="377">
        <v>4.8</v>
      </c>
      <c r="F29" s="378"/>
      <c r="G29" s="436"/>
      <c r="H29" s="437"/>
      <c r="I29" s="374"/>
      <c r="J29" s="374"/>
    </row>
    <row r="30" spans="1:10" ht="15.75" customHeight="1" x14ac:dyDescent="0.3">
      <c r="B30" s="23" t="s">
        <v>38</v>
      </c>
      <c r="C30" s="423">
        <f>C29*$I$5/1000000</f>
        <v>100476.22888032001</v>
      </c>
      <c r="D30" s="432"/>
      <c r="E30" s="423">
        <f>E29*$I$5/1000000</f>
        <v>43527.608179199997</v>
      </c>
      <c r="F30" s="432"/>
      <c r="G30" s="360">
        <f>G29*$I$5/1000000</f>
        <v>0</v>
      </c>
      <c r="H30" s="361"/>
      <c r="I30" s="375"/>
      <c r="J30" s="375"/>
    </row>
    <row r="31" spans="1:10" ht="15.75" customHeight="1" x14ac:dyDescent="0.3">
      <c r="B31" s="2" t="s">
        <v>39</v>
      </c>
      <c r="C31" s="433">
        <f>C28*C29</f>
        <v>44320</v>
      </c>
      <c r="D31" s="434"/>
      <c r="E31" s="426">
        <f>E28*E29</f>
        <v>38400</v>
      </c>
      <c r="F31" s="435"/>
      <c r="G31" s="379">
        <f>G28*G29</f>
        <v>0</v>
      </c>
      <c r="H31" s="380"/>
      <c r="I31" s="426">
        <f>C31+E31+G31</f>
        <v>82720</v>
      </c>
      <c r="J31" s="426"/>
    </row>
    <row r="32" spans="1:10" ht="15.75" customHeight="1" x14ac:dyDescent="0.3">
      <c r="B32" s="1" t="s">
        <v>40</v>
      </c>
      <c r="C32" s="428"/>
      <c r="D32" s="429"/>
      <c r="E32" s="376">
        <f>IF(C31=0,"-",(C31+E31)/(C28+E28))</f>
        <v>6.8933333333333335</v>
      </c>
      <c r="F32" s="367"/>
      <c r="G32" s="117"/>
      <c r="H32" s="117"/>
      <c r="I32" s="376">
        <f>IF(I31=0,"",I31/I28)</f>
        <v>6.8933333333333335</v>
      </c>
      <c r="J32" s="376"/>
    </row>
    <row r="33" spans="2:10" ht="15.75" customHeight="1" x14ac:dyDescent="0.3">
      <c r="B33" s="1" t="s">
        <v>41</v>
      </c>
      <c r="C33" s="430"/>
      <c r="D33" s="431"/>
      <c r="E33" s="423">
        <f>IF(E32="-","-",E32*$I$5/1000000)</f>
        <v>62510.481746240002</v>
      </c>
      <c r="F33" s="432"/>
      <c r="G33" s="118"/>
      <c r="H33" s="118"/>
      <c r="I33" s="423">
        <f>IF(I32="","",I32*$I$5/1000000)</f>
        <v>62510.481746240002</v>
      </c>
      <c r="J33" s="423"/>
    </row>
    <row r="34" spans="2:10" ht="15.75" customHeight="1" x14ac:dyDescent="0.3"/>
    <row r="35" spans="2:10" ht="15.75" customHeight="1" x14ac:dyDescent="0.3">
      <c r="B35" s="146" t="s">
        <v>315</v>
      </c>
      <c r="C35" s="364">
        <f>E29</f>
        <v>4.8</v>
      </c>
      <c r="D35" s="365"/>
      <c r="G35" s="362" t="s">
        <v>319</v>
      </c>
      <c r="H35" s="363"/>
      <c r="I35" s="364">
        <f ca="1">'FCFF Model'!C34*0.8</f>
        <v>7.2184716544539143</v>
      </c>
      <c r="J35" s="365"/>
    </row>
    <row r="36" spans="2:10" ht="15.75" customHeight="1" x14ac:dyDescent="0.3">
      <c r="B36" s="146" t="s">
        <v>316</v>
      </c>
      <c r="C36" s="402">
        <f>E28</f>
        <v>8000</v>
      </c>
      <c r="D36" s="403"/>
      <c r="G36" s="422" t="s">
        <v>323</v>
      </c>
      <c r="H36" s="422"/>
      <c r="I36" s="424">
        <f ca="1">I35/C29-1</f>
        <v>-0.34851338858719183</v>
      </c>
      <c r="J36" s="425"/>
    </row>
    <row r="37" spans="2:10" ht="15.75" customHeight="1" x14ac:dyDescent="0.3"/>
    <row r="38" spans="2:10" ht="15.75" customHeight="1" x14ac:dyDescent="0.3">
      <c r="B38" s="21" t="s">
        <v>324</v>
      </c>
      <c r="G38" s="72" t="s">
        <v>141</v>
      </c>
    </row>
    <row r="39" spans="2:10" ht="15.75" customHeight="1" x14ac:dyDescent="0.3">
      <c r="B39" s="3" t="s">
        <v>325</v>
      </c>
      <c r="F39" s="214">
        <f>'Qualitative Analysis'!E8</f>
        <v>0.4</v>
      </c>
    </row>
    <row r="40" spans="2:10" ht="15.75" customHeight="1" x14ac:dyDescent="0.3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327</v>
      </c>
      <c r="E41" s="351"/>
      <c r="F41" s="352">
        <f>'Qualitative Analysis'!E64</f>
        <v>0.60888605442176869</v>
      </c>
    </row>
    <row r="42" spans="2:10" ht="15.75" customHeight="1" x14ac:dyDescent="0.3">
      <c r="B42" s="3" t="s">
        <v>328</v>
      </c>
      <c r="E42" s="351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329</v>
      </c>
      <c r="F43" s="356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330</v>
      </c>
      <c r="F45" s="352">
        <f ca="1">I35/C29-1</f>
        <v>-0.34851338858719183</v>
      </c>
    </row>
    <row r="46" spans="2:10" ht="15.75" customHeight="1" x14ac:dyDescent="0.3">
      <c r="B46" s="3" t="s">
        <v>331</v>
      </c>
      <c r="F46" s="352">
        <f ca="1">D14/C29-1</f>
        <v>-0.72894061008384892</v>
      </c>
    </row>
    <row r="47" spans="2:10" ht="15.75" customHeight="1" x14ac:dyDescent="0.3"/>
    <row r="48" spans="2:10" ht="15.75" customHeight="1" x14ac:dyDescent="0.3">
      <c r="B48" s="3" t="s">
        <v>335</v>
      </c>
      <c r="F48" s="214">
        <f ca="1">IF(F45&lt;=0,0,AVERAGE(F39:F41,1-F43,E42))</f>
        <v>0</v>
      </c>
    </row>
    <row r="49" spans="2:8" ht="15.75" customHeight="1" x14ac:dyDescent="0.3">
      <c r="B49" s="3" t="s">
        <v>332</v>
      </c>
      <c r="E49" s="357">
        <f ca="1">F45/ABS(F46)</f>
        <v>-0.47810944234140401</v>
      </c>
      <c r="F49" s="353">
        <f ca="1">IF(F46&gt;=0,100,F45/ABS(F46))</f>
        <v>-0.47810944234140401</v>
      </c>
    </row>
    <row r="50" spans="2:8" ht="15.75" customHeight="1" x14ac:dyDescent="0.3">
      <c r="B50" s="3" t="s">
        <v>333</v>
      </c>
      <c r="E50" s="107">
        <f ca="1">MAX(F48-ABS((1-F48)/F49),0)/2</f>
        <v>0</v>
      </c>
      <c r="F50" s="354">
        <f ca="1">MIN(E50,H50)</f>
        <v>0</v>
      </c>
      <c r="G50" s="355" t="s">
        <v>334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31" workbookViewId="0">
      <selection activeCell="I12" sqref="I1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2.7502049103058943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</f>
        <v>11771819.874830345</v>
      </c>
      <c r="E6" s="14">
        <f>1-D6/D3</f>
        <v>0.49651567972918764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MAX(((D6+MIN('FCFF Model'!D4,0))*Dashboard!I12*Data!C4)/Dashboard!I5, 0)</f>
        <v>1.479443916981434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2.0706195253085773</v>
      </c>
      <c r="E50" s="218">
        <f>MAX(C50,C50*Dashboard!I10)</f>
        <v>3100839.7051696572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38">
        <f>D53+D54+D55</f>
        <v>1183453</v>
      </c>
      <c r="E52" s="439"/>
      <c r="F52" s="53"/>
      <c r="G52" s="53"/>
    </row>
    <row r="53" spans="2:9" ht="14.5" thickTop="1" x14ac:dyDescent="0.3">
      <c r="B53" s="58" t="s">
        <v>237</v>
      </c>
      <c r="C53" s="6"/>
      <c r="D53" s="441">
        <f>SUM(I11:I13)+SUM(I28:I30)</f>
        <v>1183453</v>
      </c>
      <c r="E53" s="434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46">
        <v>0</v>
      </c>
      <c r="E54" s="37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6">
        <v>0</v>
      </c>
      <c r="E55" s="37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0"/>
      <c r="E57" s="440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44">
        <f>((Dashboard!I6*Data!C4)+D52+E50-C58-C59)</f>
        <v>40050442.139489651</v>
      </c>
      <c r="E60" s="44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24">
        <f>((C26-C11-C12-C14-C15-C16*G16-C19*G19-C20*G20)-I26)/Data!C7</f>
        <v>-0.16514252885624575</v>
      </c>
      <c r="E63" s="425"/>
    </row>
    <row r="64" spans="2:9" ht="15" customHeight="1" x14ac:dyDescent="0.3">
      <c r="B64" s="3" t="s">
        <v>268</v>
      </c>
      <c r="D64" s="442">
        <v>6.7599999999999993E-2</v>
      </c>
      <c r="E64" s="443"/>
      <c r="F64" s="266" t="s">
        <v>253</v>
      </c>
    </row>
    <row r="65" spans="2:5" ht="15" customHeight="1" x14ac:dyDescent="0.3">
      <c r="B65" s="292" t="s">
        <v>270</v>
      </c>
      <c r="D65" s="442">
        <v>6.7599999999999993E-2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12277879.974830342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1.353941241994262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4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-3100839.7051696572</v>
      </c>
      <c r="D21" s="219">
        <f>C21/(Dashboard!I5/Data!C4)</f>
        <v>-0.34194460039104108</v>
      </c>
      <c r="E21" s="449"/>
      <c r="F21" s="148">
        <f>D18</f>
        <v>1.8156396202299327</v>
      </c>
      <c r="G21" s="147">
        <f>SUM(D19:D21)</f>
        <v>-0.46169837823567067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52" t="s">
        <v>232</v>
      </c>
      <c r="F23" s="452"/>
      <c r="G23" s="45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50">
        <f ca="1">SUM(C15:F15)</f>
        <v>0.52035441438061181</v>
      </c>
      <c r="G25" s="206">
        <f ca="1">$F$25+E25+$G$19</f>
        <v>4.6409813047360586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51"/>
      <c r="G26" s="207">
        <f ca="1">$F$25+E26+$G$19</f>
        <v>7.4076669530972428</v>
      </c>
      <c r="I26" s="74" t="s">
        <v>311</v>
      </c>
    </row>
    <row r="27" spans="1:9" ht="15.75" customHeight="1" x14ac:dyDescent="0.3">
      <c r="B27" s="30"/>
      <c r="C27" s="358"/>
      <c r="D27" s="359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3.0033380402709549</v>
      </c>
      <c r="D30" s="23" t="str">
        <f ca="1">IF(C30&lt;E30,"&lt;",IF(C30=E30,"=","&gt;"))</f>
        <v>&lt;</v>
      </c>
      <c r="E30" s="251">
        <f ca="1">G26*Exchange_Rate</f>
        <v>8.4422831256782178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7" t="s">
        <v>153</v>
      </c>
      <c r="D32" s="448"/>
      <c r="E32" s="30" t="s">
        <v>220</v>
      </c>
      <c r="F32" s="30" t="s">
        <v>18</v>
      </c>
      <c r="G32" s="30"/>
      <c r="H32" s="6"/>
    </row>
    <row r="33" spans="2:9" ht="15.75" customHeight="1" x14ac:dyDescent="0.3">
      <c r="B33" s="256" t="s">
        <v>234</v>
      </c>
      <c r="C33" s="253">
        <f ca="1">MIN(C30,E30)+ABS(C30-E30)*'Qualitative Analysis'!$E$64</f>
        <v>6.3150358535412527</v>
      </c>
      <c r="D33" s="119" t="str">
        <f>Dashboard!J4</f>
        <v>HKD</v>
      </c>
      <c r="E33" s="120">
        <f ca="1">(C33-G19)/C9</f>
        <v>11.387710362339805</v>
      </c>
      <c r="F33" s="158">
        <f ca="1">C33/(Data!C28*Exchange_Rate*Data!C4/Common_Shares)</f>
        <v>2.2428879144710523</v>
      </c>
      <c r="G33" s="87"/>
      <c r="H33" s="6"/>
      <c r="I33" s="74"/>
    </row>
    <row r="34" spans="2:9" ht="15.75" customHeight="1" x14ac:dyDescent="0.3">
      <c r="B34" s="255" t="s">
        <v>233</v>
      </c>
      <c r="C34" s="254">
        <f ca="1">MAX(Asset_Model!D7,(G12/(1+G34)^G4+F25+G19)*Exchange_Rate)</f>
        <v>9.0230895680673928</v>
      </c>
      <c r="D34" s="208" t="str">
        <f>D33</f>
        <v>HKD</v>
      </c>
      <c r="E34" s="120">
        <f ca="1">(C34-G19)/C9</f>
        <v>17.603784386589446</v>
      </c>
      <c r="F34" s="158">
        <f ca="1">C34/(Data!C28*Exchange_Rate*Data!C4/Common_Shares)</f>
        <v>3.2046973307458799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2023-03-22T11:39:59Z</dcterms:modified>
  <cp:category/>
  <cp:contentStatus/>
</cp:coreProperties>
</file>