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800FF87-F5E4-4B63-9954-19D23D04EE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5" i="7" l="1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D17" i="4"/>
  <c r="G18" i="4" s="1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<sst xmlns="http://schemas.openxmlformats.org/spreadsheetml/2006/main" count="487" uniqueCount="416">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</sst>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7.83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6198.0320620800003</v>
      </c>
      <c r="J6" s="350"/>
      <c r="K6" s="91"/>
    </row>
    <row r="7" spans="1:12" ht="15.75" customHeight="1">
      <c r="B7" s="86" t="s">
        <v>10</v>
      </c>
      <c r="C7" s="218">
        <f>(Data!C42*Exchange_Rate)/I4</f>
        <v>2.936415916811546E-2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10.641293537276098</v>
      </c>
      <c r="J9" s="166">
        <f>IF(I9="NNI","NNI",1/I9)</f>
        <v>9.3973537756197892E-2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1.5059217459466303</v>
      </c>
      <c r="J10" s="223">
        <f>I4/(Data!C7*Data!C4/Common_Shares*Exchange_Rate)</f>
        <v>0.57804732204782139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8.4067921463450137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7.83</v>
      </c>
      <c r="C16" s="373">
        <v>0.2</v>
      </c>
      <c r="D16" s="238">
        <f ca="1">I37/B16-(1+C16)</f>
        <v>0.1828275212607422</v>
      </c>
      <c r="E16" s="354" t="s">
        <v>21</v>
      </c>
      <c r="F16" s="351">
        <f>(Val_Models!G16)*Exchange_Rate</f>
        <v>1.9014280008323869</v>
      </c>
      <c r="G16" s="354" t="s">
        <v>22</v>
      </c>
      <c r="H16" s="239">
        <f>B16-$F$16</f>
        <v>5.9285719991676133</v>
      </c>
      <c r="I16" s="367">
        <v>2.3E-2</v>
      </c>
      <c r="J16" s="166">
        <f>I16/B16</f>
        <v>2.9374201787994892E-3</v>
      </c>
    </row>
    <row r="17" spans="1:10" ht="15.75" customHeight="1">
      <c r="B17" s="116">
        <f ca="1">MIN((I37+I38)/2,I37/(1+C16), IF(J20=0,E14,I37/(1+C16)))</f>
        <v>8.7764866042738117</v>
      </c>
      <c r="C17" s="374"/>
      <c r="D17" s="149">
        <f ca="1">I37/B17-(1+C16)</f>
        <v>3.369862903898424E-2</v>
      </c>
      <c r="E17" s="355"/>
      <c r="F17" s="352"/>
      <c r="G17" s="355"/>
      <c r="H17" s="236">
        <f ca="1">B17-$F$16</f>
        <v>6.8750586034414249</v>
      </c>
      <c r="I17" s="368"/>
      <c r="J17" s="149">
        <f ca="1">I16/B17</f>
        <v>2.6206386492745154E-3</v>
      </c>
    </row>
    <row r="18" spans="1:10" ht="15.75" customHeight="1">
      <c r="B18" s="129">
        <f>C37</f>
        <v>7.44</v>
      </c>
      <c r="C18" s="375"/>
      <c r="D18" s="237">
        <f ca="1">I37/B18-(1+C16)</f>
        <v>0.25531444777844237</v>
      </c>
      <c r="E18" s="356"/>
      <c r="F18" s="353"/>
      <c r="G18" s="356"/>
      <c r="H18" s="98">
        <f>B18-$F$16</f>
        <v>5.5385719991676137</v>
      </c>
      <c r="I18" s="369"/>
      <c r="J18" s="158">
        <f>I16/B18</f>
        <v>3.0913978494623655E-3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0.18036363636363636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0.18036363636363636</v>
      </c>
      <c r="J29" s="370"/>
    </row>
    <row r="30" spans="1:10" ht="15.75" customHeight="1">
      <c r="B30" s="18" t="s">
        <v>32</v>
      </c>
      <c r="C30" s="349">
        <v>16000</v>
      </c>
      <c r="D30" s="339"/>
      <c r="E30" s="349"/>
      <c r="F30" s="339"/>
      <c r="G30" s="349"/>
      <c r="H30" s="349"/>
      <c r="I30" s="376">
        <f>C30+E30+G30</f>
        <v>16000</v>
      </c>
      <c r="J30" s="376"/>
    </row>
    <row r="31" spans="1:10" ht="15.75" customHeight="1">
      <c r="B31" s="18" t="s">
        <v>33</v>
      </c>
      <c r="C31" s="363">
        <v>7.44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5889.3178214400004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119040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119040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7.44</v>
      </c>
      <c r="F34" s="365"/>
      <c r="G34" s="78"/>
      <c r="H34" s="78"/>
      <c r="I34" s="332">
        <f>IF(I33=0,"",I33/I30)</f>
        <v>7.44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5889.3178214400004</v>
      </c>
      <c r="F35" s="377"/>
      <c r="G35" s="230"/>
      <c r="H35" s="230"/>
      <c r="I35" s="331">
        <f>IF(I34="","",I34*$I$5/1000000)</f>
        <v>5889.3178214400004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7.44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10.827539491471612</v>
      </c>
      <c r="J37" s="325"/>
    </row>
    <row r="38" spans="2:11" ht="15.75" customHeight="1">
      <c r="B38" s="87" t="s">
        <v>281</v>
      </c>
      <c r="C38" s="326">
        <f>E34</f>
        <v>7.44</v>
      </c>
      <c r="D38" s="327"/>
      <c r="E38" s="6"/>
      <c r="F38" s="6"/>
      <c r="G38" s="323" t="s">
        <v>280</v>
      </c>
      <c r="H38" s="323"/>
      <c r="I38" s="324">
        <f ca="1">Val_Models!C47</f>
        <v>6.7254337170760108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0.45531444777844232</v>
      </c>
      <c r="F47" s="171">
        <f ca="1">I37/C38-1</f>
        <v>0.45531444777844232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-9.6043855231718989E-2</v>
      </c>
      <c r="F48" s="171">
        <f ca="1">Val_Models!C47/C38-1</f>
        <v>-9.6043855231718989E-2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0.59619055326831849</v>
      </c>
      <c r="F50" s="171">
        <f ca="1">IF(F47&lt;=0,0,AVERAGE(F41:F44,0.5*(1+F47+F48-C16)))</f>
        <v>0.59619055326831849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4.7406931623052166</v>
      </c>
      <c r="F51" s="234">
        <f ca="1">IF(F48&gt;=0,100,F47/ABS(F48))</f>
        <v>4.7406931623052166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2.8233649296961296</v>
      </c>
      <c r="F52" s="232">
        <f ca="1">MAX(C16*2.5/F47,1)+IF(F47&lt;C16,100,0)+IF(D18&lt;0,100,0)+IF(J20=1,2/(1+F47+F48-C16),0)</f>
        <v>2.8233649296961296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0.18099365684417548</v>
      </c>
      <c r="F53" s="217">
        <f ca="1">MIN(MAX(F50-ABS((1-F50)/F51),0)/F52,H53)</f>
        <v>0.18099365684417548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1047638.7241246243</v>
      </c>
      <c r="E6" s="149">
        <f>1-D6/D3</f>
        <v>0.74366038651515942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1.3234864111275597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1.5059217459466303</v>
      </c>
      <c r="E53" s="51">
        <f>MAX(C53,C53*Dashboard!I10)</f>
        <v>76208.675875375178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4666182.7379553756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I22" sqref="I2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1505122.8241246247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1.9014280008323869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-76208.675875375178</v>
      </c>
      <c r="D18" s="106">
        <f>C18/(Dashboard!I5/Data!C4)*Exchange_Rate</f>
        <v>-9.6274741099667077E-2</v>
      </c>
      <c r="E18" s="355"/>
      <c r="F18" s="89">
        <f>D15+(MIN(D4,0)*Data!C$4/Dashboard!I5)</f>
        <v>2.9812476032592521</v>
      </c>
      <c r="G18" s="88">
        <f>SUM(D16:D18)</f>
        <v>-1.0798196024268651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11.116487894792453</v>
      </c>
      <c r="G22" s="271">
        <f>F22*Exchange_Rate</f>
        <v>11.116487894792453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20.194009581379976</v>
      </c>
      <c r="G23" s="272">
        <f>F23*Exchange_Rate</f>
        <v>20.194009581379976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15.392649003581361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7.44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0.7142400000000001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-0.76100299017820383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-0.79436263570864252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1.3234864111275597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0.5291237754189172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8.4067921463450137</v>
      </c>
      <c r="D44" s="262" t="str">
        <f>Dashboard!J4</f>
        <v>HKD</v>
      </c>
      <c r="E44" s="263">
        <f ca="1">(C44-G16)/C9</f>
        <v>-2.664793869442768</v>
      </c>
      <c r="F44" s="263">
        <f ca="1">C44/(Data!C29*Exchange_Rate*Data!C4/Common_Shares)</f>
        <v>1.6168545474884166</v>
      </c>
      <c r="G44" s="263">
        <f ca="1">C44/(Data!C7*Data!C4*Exchange_Rate/Common_Shares)</f>
        <v>0.6206288233981343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-4.7698065135998355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10.827539491471612</v>
      </c>
      <c r="D46" s="256" t="str">
        <f>D45</f>
        <v>HKD</v>
      </c>
      <c r="E46" s="223">
        <f ca="1">(C46-G16)/C9</f>
        <v>-3.6564051828867576</v>
      </c>
      <c r="F46" s="223">
        <f ca="1">C46/(Asset_Model!I3*Exchange_Rate*Data!C4/Common_Shares)</f>
        <v>2.1234263943240976</v>
      </c>
      <c r="G46" s="223">
        <f ca="1">C46/(Data!C7*Data!C4*Exchange_Rate/Common_Shares)</f>
        <v>0.79933974551879883</v>
      </c>
    </row>
    <row r="47" spans="1:9" ht="15.75" customHeight="1">
      <c r="B47" s="84" t="s">
        <v>280</v>
      </c>
      <c r="C47" s="259">
        <f ca="1">MAX(G41,C44)/(1+Dashboard!I14)</f>
        <v>6.7254337170760108</v>
      </c>
      <c r="D47" s="260" t="str">
        <f>D45</f>
        <v>HKD</v>
      </c>
      <c r="E47" s="224">
        <f ca="1">(C47-G16)/C9</f>
        <v>-1.9760586142852881</v>
      </c>
      <c r="F47" s="224">
        <f ca="1">C47/(Asset_Model!I3*Exchange_Rate*Data!C4/Common_Shares)</f>
        <v>1.3189481764869044</v>
      </c>
      <c r="G47" s="224">
        <f ca="1">C47/(Data!C7*Data!C4*Exchange_Rate/Common_Shares)</f>
        <v>0.49650305871850747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2023-09-06T05:05:20Z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