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2F67E834-419C-4F34-8EFE-2A7C92A976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F49" i="1"/>
  <c r="D49" i="1"/>
  <c r="E50" i="1"/>
  <c r="F50" i="1"/>
  <c r="C50" i="1"/>
  <c r="B50" i="1"/>
  <c r="E49" i="1"/>
  <c r="C9" i="7"/>
  <c r="E13" i="7"/>
  <c r="C6" i="7"/>
  <c r="C5" i="7"/>
  <c r="E5" i="7"/>
  <c r="C4" i="7"/>
  <c r="E4" i="7"/>
  <c r="E6" i="7"/>
  <c r="C32" i="3"/>
  <c r="C36" i="3"/>
  <c r="E36" i="3"/>
  <c r="E33" i="3"/>
  <c r="I10" i="1"/>
  <c r="B15" i="1"/>
  <c r="G24" i="4"/>
  <c r="F24" i="4"/>
  <c r="C12" i="1"/>
  <c r="D13" i="4"/>
  <c r="F43" i="1"/>
  <c r="F40" i="1"/>
  <c r="C35" i="1"/>
  <c r="B18" i="1"/>
  <c r="B16" i="1"/>
  <c r="G34" i="4"/>
  <c r="G3" i="7"/>
  <c r="E3" i="4"/>
  <c r="C15" i="4"/>
  <c r="D65" i="3"/>
  <c r="E6" i="1"/>
  <c r="C3" i="7"/>
  <c r="C3" i="4"/>
  <c r="E26" i="1"/>
  <c r="C36" i="1"/>
  <c r="E7" i="3"/>
  <c r="C26" i="4"/>
  <c r="G31" i="3"/>
  <c r="G34" i="2"/>
  <c r="H34" i="2"/>
  <c r="I34" i="2"/>
  <c r="I35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F18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I16" i="7"/>
  <c r="I19" i="7"/>
  <c r="F4" i="4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E43" i="2"/>
  <c r="F27" i="2"/>
  <c r="I14" i="7"/>
  <c r="I4" i="3"/>
  <c r="D4" i="3"/>
  <c r="C50" i="3"/>
  <c r="D6" i="1"/>
  <c r="C29" i="4"/>
  <c r="B3" i="4"/>
  <c r="B3" i="7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D52" i="3"/>
  <c r="C20" i="4"/>
  <c r="D20" i="4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G9" i="7"/>
  <c r="C44" i="3"/>
  <c r="G11" i="7"/>
  <c r="G16" i="7"/>
  <c r="G19" i="7"/>
  <c r="E4" i="4"/>
  <c r="I15" i="7"/>
  <c r="I3" i="7"/>
  <c r="F3" i="4"/>
  <c r="E12" i="3"/>
  <c r="G15" i="7"/>
  <c r="G17" i="7"/>
  <c r="I18" i="7"/>
  <c r="G14" i="7"/>
  <c r="D53" i="5"/>
  <c r="E35" i="3"/>
  <c r="G18" i="7"/>
  <c r="C14" i="2"/>
  <c r="C13" i="2"/>
  <c r="D43" i="2"/>
  <c r="G27" i="2"/>
  <c r="H27" i="2"/>
  <c r="I27" i="2"/>
  <c r="J27" i="2"/>
  <c r="K27" i="2"/>
  <c r="L27" i="2"/>
  <c r="M27" i="2"/>
  <c r="E11" i="3"/>
  <c r="C42" i="2"/>
  <c r="D31" i="5"/>
  <c r="D32" i="5"/>
  <c r="D33" i="5"/>
  <c r="D34" i="5"/>
  <c r="J12" i="1"/>
  <c r="E5" i="1"/>
  <c r="E4" i="2"/>
  <c r="G35" i="2"/>
  <c r="H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E40" i="3"/>
  <c r="E32" i="3"/>
  <c r="E39" i="3"/>
  <c r="E30" i="3"/>
  <c r="E29" i="3"/>
  <c r="E38" i="3"/>
  <c r="E34" i="3"/>
  <c r="E37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I9" i="1"/>
  <c r="J9" i="1"/>
  <c r="G31" i="1"/>
  <c r="G27" i="1"/>
  <c r="E31" i="1"/>
  <c r="E27" i="1"/>
  <c r="C31" i="1"/>
  <c r="C27" i="1"/>
  <c r="I27" i="1"/>
  <c r="G30" i="1"/>
  <c r="E30" i="1"/>
  <c r="C30" i="1"/>
  <c r="I28" i="1"/>
  <c r="I6" i="1"/>
  <c r="C2" i="1"/>
  <c r="D33" i="2"/>
  <c r="D34" i="2"/>
  <c r="D36" i="5"/>
  <c r="E33" i="2"/>
  <c r="E34" i="2"/>
  <c r="D6" i="5"/>
  <c r="D55" i="5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C23" i="4"/>
  <c r="D42" i="5"/>
  <c r="E42" i="5"/>
  <c r="E24" i="3"/>
  <c r="D54" i="5" a="1"/>
  <c r="D54" i="5"/>
  <c r="D49" i="5"/>
  <c r="E30" i="5"/>
  <c r="K15" i="2"/>
  <c r="L16" i="2"/>
  <c r="L45" i="2"/>
  <c r="L15" i="2"/>
  <c r="M16" i="2"/>
  <c r="M45" i="2"/>
  <c r="F15" i="2"/>
  <c r="G15" i="2"/>
  <c r="J15" i="2"/>
  <c r="I31" i="1"/>
  <c r="I32" i="1"/>
  <c r="I33" i="1"/>
  <c r="C46" i="2"/>
  <c r="G13" i="2"/>
  <c r="G12" i="2"/>
  <c r="J13" i="2"/>
  <c r="D14" i="2"/>
  <c r="D16" i="2"/>
  <c r="H13" i="2"/>
  <c r="H12" i="2"/>
  <c r="L13" i="2"/>
  <c r="L12" i="2"/>
  <c r="F10" i="2"/>
  <c r="J10" i="2"/>
  <c r="J12" i="2"/>
  <c r="E14" i="2"/>
  <c r="E13" i="2"/>
  <c r="E12" i="2"/>
  <c r="I14" i="2"/>
  <c r="K13" i="2"/>
  <c r="K12" i="2"/>
  <c r="C33" i="2"/>
  <c r="C34" i="2"/>
  <c r="E55" i="5"/>
  <c r="C25" i="4"/>
  <c r="I16" i="2"/>
  <c r="I45" i="2"/>
  <c r="I44" i="2"/>
  <c r="D44" i="2"/>
  <c r="E49" i="5"/>
  <c r="H15" i="2"/>
  <c r="I15" i="2"/>
  <c r="H17" i="2"/>
  <c r="E36" i="5"/>
  <c r="K17" i="2"/>
  <c r="J17" i="2"/>
  <c r="G17" i="2"/>
  <c r="I13" i="2"/>
  <c r="I12" i="2"/>
  <c r="L17" i="2"/>
  <c r="C27" i="4"/>
  <c r="D62" i="5"/>
  <c r="E62" i="5"/>
  <c r="I17" i="2"/>
  <c r="E6" i="5"/>
  <c r="F16" i="1"/>
  <c r="D12" i="5"/>
  <c r="D5" i="5"/>
  <c r="E5" i="5"/>
  <c r="I36" i="1"/>
  <c r="E32" i="1"/>
  <c r="E33" i="1"/>
  <c r="C7" i="7"/>
  <c r="C10" i="7"/>
  <c r="E10" i="7"/>
  <c r="D63" i="3"/>
  <c r="E58" i="3"/>
  <c r="C19" i="4"/>
  <c r="D19" i="4"/>
  <c r="G4" i="4"/>
  <c r="B24" i="4"/>
  <c r="G2" i="4"/>
  <c r="C12" i="7"/>
  <c r="D6" i="7"/>
  <c r="I53" i="3"/>
  <c r="E42" i="3"/>
  <c r="C42" i="3"/>
  <c r="C46" i="3"/>
  <c r="E3" i="3"/>
  <c r="C58" i="3"/>
  <c r="E7" i="7"/>
  <c r="F4" i="7"/>
  <c r="E13" i="4"/>
  <c r="E8" i="4"/>
  <c r="E9" i="4"/>
  <c r="E15" i="4"/>
  <c r="E14" i="4"/>
  <c r="E5" i="4"/>
  <c r="F14" i="4"/>
  <c r="F13" i="4"/>
  <c r="F8" i="4"/>
  <c r="F9" i="4"/>
  <c r="F15" i="4"/>
  <c r="F5" i="4"/>
  <c r="I17" i="7"/>
  <c r="E26" i="3"/>
  <c r="E25" i="3"/>
  <c r="I6" i="3"/>
  <c r="D26" i="3"/>
  <c r="E59" i="3"/>
  <c r="D59" i="3"/>
  <c r="C25" i="3"/>
  <c r="E44" i="3"/>
  <c r="E45" i="3"/>
  <c r="C18" i="4"/>
  <c r="D18" i="4"/>
  <c r="I24" i="3"/>
  <c r="J24" i="3"/>
  <c r="D24" i="3"/>
  <c r="I25" i="3"/>
  <c r="J25" i="3"/>
  <c r="E3" i="7"/>
  <c r="D3" i="4"/>
  <c r="E50" i="3"/>
  <c r="F13" i="2"/>
  <c r="F12" i="2"/>
  <c r="E15" i="2"/>
  <c r="F16" i="2"/>
  <c r="D15" i="2"/>
  <c r="E44" i="2"/>
  <c r="E16" i="2"/>
  <c r="E35" i="2"/>
  <c r="D13" i="2"/>
  <c r="D12" i="2"/>
  <c r="D45" i="2"/>
  <c r="D17" i="2"/>
  <c r="D35" i="2"/>
  <c r="C15" i="2"/>
  <c r="C44" i="2"/>
  <c r="C16" i="2"/>
  <c r="C35" i="2"/>
  <c r="C12" i="2"/>
  <c r="C17" i="4"/>
  <c r="G13" i="4"/>
  <c r="C11" i="1"/>
  <c r="D4" i="7"/>
  <c r="C11" i="7"/>
  <c r="C16" i="7"/>
  <c r="D60" i="3"/>
  <c r="D58" i="3"/>
  <c r="E9" i="7"/>
  <c r="E11" i="7"/>
  <c r="E16" i="7"/>
  <c r="E17" i="7"/>
  <c r="E12" i="7"/>
  <c r="E46" i="3"/>
  <c r="D46" i="3"/>
  <c r="D42" i="3"/>
  <c r="F6" i="7"/>
  <c r="E8" i="7"/>
  <c r="C45" i="3"/>
  <c r="D45" i="3"/>
  <c r="I7" i="3"/>
  <c r="D25" i="3"/>
  <c r="I44" i="3"/>
  <c r="J44" i="3"/>
  <c r="D44" i="3"/>
  <c r="I45" i="3"/>
  <c r="J45" i="3"/>
  <c r="D50" i="3"/>
  <c r="D49" i="3"/>
  <c r="C21" i="4"/>
  <c r="D21" i="4"/>
  <c r="G21" i="4"/>
  <c r="F17" i="2"/>
  <c r="F45" i="2"/>
  <c r="E45" i="2"/>
  <c r="E17" i="2"/>
  <c r="C45" i="2"/>
  <c r="F4" i="2"/>
  <c r="C17" i="2"/>
  <c r="G18" i="4"/>
  <c r="C19" i="7"/>
  <c r="C14" i="7"/>
  <c r="E15" i="7"/>
  <c r="E14" i="7"/>
  <c r="E19" i="7"/>
  <c r="E18" i="7"/>
  <c r="J26" i="3"/>
  <c r="D18" i="5"/>
  <c r="E64" i="5"/>
  <c r="C18" i="7"/>
  <c r="C4" i="4"/>
  <c r="D4" i="4"/>
  <c r="G19" i="4"/>
  <c r="H16" i="1"/>
  <c r="J18" i="1"/>
  <c r="E18" i="5"/>
  <c r="D6" i="3"/>
  <c r="D64" i="5"/>
  <c r="E7" i="5"/>
  <c r="D7" i="5"/>
  <c r="D8" i="5"/>
  <c r="E8" i="5"/>
  <c r="F41" i="1"/>
  <c r="F21" i="4"/>
  <c r="D14" i="4"/>
  <c r="G14" i="4"/>
  <c r="C7" i="4"/>
  <c r="C8" i="4"/>
  <c r="C9" i="4"/>
  <c r="C10" i="4"/>
  <c r="J10" i="1"/>
  <c r="D5" i="4"/>
  <c r="E20" i="4"/>
  <c r="D7" i="4"/>
  <c r="D8" i="4"/>
  <c r="D9" i="4"/>
  <c r="J16" i="1"/>
  <c r="D7" i="3"/>
  <c r="G29" i="4"/>
  <c r="E6" i="3"/>
  <c r="F39" i="1"/>
  <c r="G8" i="4"/>
  <c r="G9" i="4"/>
  <c r="E26" i="4"/>
  <c r="F26" i="4"/>
  <c r="G26" i="4"/>
  <c r="E30" i="4"/>
  <c r="D10" i="4"/>
  <c r="D15" i="4"/>
  <c r="E27" i="4"/>
  <c r="F27" i="4"/>
  <c r="G27" i="4"/>
  <c r="G12" i="4"/>
  <c r="G15" i="4"/>
  <c r="E25" i="4"/>
  <c r="F25" i="4"/>
  <c r="G25" i="4"/>
  <c r="C30" i="4"/>
  <c r="F14" i="1"/>
  <c r="I35" i="1"/>
  <c r="F45" i="1"/>
  <c r="F42" i="1"/>
  <c r="C34" i="4"/>
  <c r="C33" i="4"/>
  <c r="H14" i="1"/>
  <c r="B17" i="1"/>
  <c r="D17" i="1"/>
  <c r="J25" i="1"/>
  <c r="D14" i="1"/>
  <c r="F46" i="1"/>
  <c r="D30" i="4"/>
  <c r="F34" i="4"/>
  <c r="E34" i="4"/>
  <c r="E42" i="1"/>
  <c r="F33" i="4"/>
  <c r="E33" i="4"/>
  <c r="F17" i="1"/>
  <c r="D18" i="1"/>
  <c r="D16" i="1"/>
  <c r="J17" i="1"/>
</calcChain>
</file>

<file path=xl/sharedStrings.xml><?xml version="1.0" encoding="utf-8"?>
<sst xmlns="http://schemas.openxmlformats.org/spreadsheetml/2006/main" count="410" uniqueCount="345">
  <si>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</si>
  <si>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</si>
  <si>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</si>
  <si>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</si>
  <si>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</si>
  <si>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</si>
  <si>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</si>
  <si>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</si>
  <si>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</si>
  <si>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</si>
  <si>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</si>
  <si>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</si>
  <si>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</si>
  <si>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</si>
  <si>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</si>
  <si>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</si>
  <si>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</si>
  <si>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</si>
  <si>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</si>
  <si>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</si>
  <si>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</si>
  <si>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</si>
  <si>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</si>
  <si>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</si>
  <si>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</si>
  <si>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</si>
  <si>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</si>
  <si>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</si>
  <si>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</si>
  <si>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</si>
  <si>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</si>
  <si>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</si>
  <si>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</si>
  <si>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</si>
  <si>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</si>
  <si>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</si>
  <si>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</si>
  <si>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</si>
  <si>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</si>
  <si>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</si>
  <si>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</si>
  <si>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</si>
  <si>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</si>
  <si>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</si>
  <si>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</si>
  <si>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</si>
  <si>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</si>
  <si>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</si>
  <si>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</si>
  <si>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</si>
  <si>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</si>
  <si>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</si>
  <si>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</si>
  <si>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</si>
  <si>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</si>
  <si>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</si>
  <si>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</si>
  <si>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</si>
  <si>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</si>
  <si>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</si>
  <si>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</si>
  <si>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</si>
  <si>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</si>
  <si>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</si>
  <si>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</si>
  <si>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</si>
  <si>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</si>
  <si>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</si>
  <si>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</si>
  <si>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</si>
  <si>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</si>
  <si>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</si>
  <si>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</si>
  <si>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</si>
  <si>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</si>
  <si>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</si>
  <si>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</si>
  <si>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</si>
  <si>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</si>
  <si>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</si>
  <si>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</si>
  <si>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</si>
  <si>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</si>
  <si>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</si>
  <si>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</si>
  <si>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</si>
  <si>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</si>
  <si>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</si>
  <si>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</si>
  <si>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</si>
  <si>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</si>
  <si>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</si>
  <si>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</si>
  <si>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</si>
  <si>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</si>
  <si>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</si>
  <si>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</si>
  <si>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</si>
  <si>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</si>
  <si>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</si>
  <si>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</si>
  <si>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</si>
  <si>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</si>
  <si>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</si>
  <si>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</si>
  <si>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</si>
  <si>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</si>
  <si>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</si>
  <si>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</si>
  <si>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</si>
  <si>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</si>
  <si>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</si>
  <si>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</si>
  <si>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</si>
  <si>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</si>
  <si>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</si>
  <si>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</si>
  <si>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</si>
  <si>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</si>
  <si>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</si>
  <si>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</si>
  <si>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</si>
  <si>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</si>
  <si>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</si>
  <si>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</si>
  <si>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</si>
  <si>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</si>
  <si>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</si>
  <si>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</si>
  <si>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</si>
  <si>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</si>
  <si>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</si>
  <si>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</si>
  <si>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</si>
  <si>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</si>
  <si>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</si>
  <si>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</si>
  <si>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</si>
  <si>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</si>
  <si>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</si>
  <si>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</si>
  <si>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</si>
  <si>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</si>
  <si>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</si>
  <si>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</si>
  <si>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</si>
  <si>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</si>
  <si>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</si>
  <si>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</si>
  <si>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</si>
  <si>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</si>
  <si>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</si>
  <si>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</si>
  <si>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</si>
  <si>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</si>
  <si>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</si>
  <si>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</si>
  <si>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</si>
  <si>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</si>
  <si>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</si>
  <si>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</si>
  <si>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</si>
  <si>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</si>
  <si>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</si>
  <si>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</si>
  <si>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</si>
  <si>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</si>
  <si>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</si>
  <si>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</si>
  <si>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</si>
  <si>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</si>
  <si>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</si>
  <si>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</si>
  <si>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</si>
  <si>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</si>
  <si>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</si>
  <si>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</si>
  <si>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</si>
  <si>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</si>
  <si>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</si>
  <si>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</si>
  <si>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</si>
  <si>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</si>
  <si>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</si>
  <si>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</si>
  <si>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</si>
  <si>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</si>
  <si>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</si>
  <si>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</si>
  <si>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</si>
  <si>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</si>
  <si>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</si>
  <si>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</si>
  <si>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</si>
  <si>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</si>
  <si>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</si>
  <si>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</si>
  <si>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</si>
  <si>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</si>
  <si>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</si>
  <si>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</si>
  <si>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</si>
  <si>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</si>
  <si>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</si>
  <si>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</si>
  <si>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</si>
  <si>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</si>
  <si>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</si>
  <si>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</si>
  <si>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</si>
  <si>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</si>
  <si>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</si>
  <si>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</si>
  <si>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</si>
  <si>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</si>
  <si>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</si>
  <si>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</si>
  <si>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</si>
  <si>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</si>
  <si>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</si>
  <si>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</si>
  <si>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</si>
  <si>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</si>
  <si>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</si>
  <si>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</si>
  <si>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</si>
  <si>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</si>
  <si>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</si>
  <si>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</si>
  <si>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</si>
  <si>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</si>
  <si>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</si>
  <si>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</si>
  <si>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</si>
  <si>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</si>
  <si>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</si>
  <si>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</si>
  <si>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</si>
  <si>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</si>
  <si>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</si>
  <si>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</si>
  <si>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</si>
  <si>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</si>
  <si>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</si>
  <si>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</si>
  <si>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</si>
  <si>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</si>
  <si>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</si>
  <si>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</si>
  <si>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</si>
  <si>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</si>
  <si>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</si>
  <si>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</si>
  <si>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</si>
  <si>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</si>
  <si>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</si>
  <si>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</si>
  <si>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</si>
  <si>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</si>
  <si>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</si>
  <si>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</si>
  <si>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</si>
  <si>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</si>
  <si>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</si>
  <si>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</si>
  <si>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</si>
  <si>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</si>
  <si>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</si>
  <si>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</si>
  <si>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</si>
  <si>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</si>
  <si>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</si>
  <si>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</si>
  <si>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</si>
  <si>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</si>
  <si>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</si>
  <si>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</si>
  <si>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</si>
  <si>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</si>
  <si>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</si>
  <si>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</si>
  <si>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</si>
  <si>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</si>
  <si>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</si>
  <si>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</si>
  <si>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</si>
  <si>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</si>
  <si>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</si>
  <si>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</si>
  <si>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</si>
  <si>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</si>
  <si>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</si>
  <si>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</si>
  <si>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</si>
  <si>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</si>
  <si>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</si>
  <si>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</si>
  <si>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</si>
  <si>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</si>
  <si>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</si>
  <si>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</si>
  <si>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</si>
  <si>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</si>
  <si>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</si>
  <si>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</si>
  <si>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</si>
  <si>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</si>
  <si>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</si>
  <si>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</si>
  <si>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</si>
  <si>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</si>
  <si>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</si>
  <si>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</si>
  <si>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</si>
  <si>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</si>
  <si>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</si>
  <si>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</si>
  <si>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</si>
  <si>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</si>
  <si>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</si>
  <si>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</si>
  <si>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</si>
  <si>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</si>
  <si>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</si>
  <si>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</si>
  <si>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</si>
  <si>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</si>
  <si>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</si>
  <si>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</si>
  <si>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</si>
  <si>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</si>
  <si>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</si>
  <si>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</si>
  <si>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</si>
  <si>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</si>
  <si>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</si>
  <si>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</si>
  <si>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</si>
  <si>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</si>
  <si>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0088.HK</t>
  </si>
  <si>
    <t>TAI CHEUNG HOLD</t>
  </si>
  <si>
    <t>Quarter</t>
  </si>
  <si>
    <t>物業租金毛收入</t>
  </si>
  <si>
    <t>物業管理收入</t>
  </si>
  <si>
    <t>出售樓宇之毛收入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</si>
</sst>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%"/>
    <numFmt numFmtId="201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200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01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7" fontId="4" fillId="9" borderId="21" xfId="0" applyNumberFormat="1" applyFont="1" applyFill="1" applyBorder="1" applyAlignment="1">
      <alignment horizontal="center"/>
    </xf>
    <xf numFmtId="177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86" fontId="1" fillId="0" borderId="20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7" fontId="3" fillId="0" borderId="13" xfId="0" applyNumberFormat="1" applyFont="1" applyBorder="1" applyAlignment="1">
      <alignment horizontal="center"/>
    </xf>
    <xf numFmtId="177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0" zoomScaleNormal="100" workbookViewId="0">
      <selection activeCell="D44" sqref="D44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0088.HK : TAI CHEUNG HOLD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401" t="s">
        <v>339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4">
      <c r="B4" s="5" t="s">
        <v>4</v>
      </c>
      <c r="C4" s="403" t="s">
        <v>340</v>
      </c>
      <c r="D4" s="404"/>
      <c r="E4" s="6"/>
      <c r="G4" s="5" t="s">
        <v>5</v>
      </c>
      <c r="I4" s="32">
        <v>4.0599999999999996</v>
      </c>
      <c r="J4" s="33" t="s">
        <v>6</v>
      </c>
      <c r="K4" s="152"/>
    </row>
    <row r="5" spans="1:12" ht="15.75" customHeight="1" x14ac:dyDescent="0.4">
      <c r="B5" s="5" t="s">
        <v>7</v>
      </c>
      <c r="C5" s="405">
        <v>45014</v>
      </c>
      <c r="D5" s="404"/>
      <c r="E5" s="122" t="str">
        <f ca="1">IF(C5+30&gt;=TODAY(),"Patience Premium","")</f>
        <v>Patience Premium</v>
      </c>
      <c r="G5" s="5" t="s">
        <v>8</v>
      </c>
      <c r="I5" s="413">
        <v>617531008</v>
      </c>
      <c r="J5" s="414"/>
      <c r="K5" s="151"/>
      <c r="L5" s="85"/>
    </row>
    <row r="6" spans="1:12" ht="15.75" customHeight="1" x14ac:dyDescent="0.4">
      <c r="B6" s="12" t="s">
        <v>248</v>
      </c>
      <c r="C6" s="269">
        <v>8</v>
      </c>
      <c r="D6" s="270">
        <f>EOMONTH(EDATE(Asset_Model!D9,C6),0)</f>
        <v>45077</v>
      </c>
      <c r="E6" s="352">
        <f>IF(Asset_Model!E9="FY",Asset_Model!D9,Data!C3)</f>
        <v>44651</v>
      </c>
      <c r="G6" s="134" t="s">
        <v>9</v>
      </c>
      <c r="H6" s="133"/>
      <c r="I6" s="415">
        <f>I4*I5/1000000</f>
        <v>2507.1758924799997</v>
      </c>
      <c r="J6" s="416"/>
      <c r="K6" s="151"/>
    </row>
    <row r="7" spans="1:12" ht="15.75" customHeight="1" x14ac:dyDescent="0.4">
      <c r="B7" s="139" t="s">
        <v>10</v>
      </c>
      <c r="C7" s="145">
        <f>(Data!C39*Exchange_Rate)/I4</f>
        <v>5.9110332244542436E-2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864.54341119999992</v>
      </c>
      <c r="J9" s="48">
        <f>IF(I9="NNI","NNI",1/I9)</f>
        <v>1.1566799157164175E-3</v>
      </c>
    </row>
    <row r="10" spans="1:12" ht="15.75" customHeight="1" x14ac:dyDescent="0.4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0.37553373762113745</v>
      </c>
      <c r="J10" s="130">
        <f>IF(Asset_Model!D60/'FCFF Model'!C4&lt;0,"Negative EV",Asset_Model!D60/'FCFF Model'!C4)</f>
        <v>147.44536810421457</v>
      </c>
    </row>
    <row r="11" spans="1:12" ht="15.75" customHeight="1" thickBot="1" x14ac:dyDescent="0.45">
      <c r="B11" s="312" t="s">
        <v>267</v>
      </c>
      <c r="C11" s="425">
        <f ca="1">C12-D10</f>
        <v>6.7000000000000004E-2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4">
      <c r="B12" s="313" t="s">
        <v>145</v>
      </c>
      <c r="C12" s="379">
        <f ca="1">IF(C10="CN",8%,6%)*IF($C$5+30&gt;=TODAY(),1.2,1)</f>
        <v>9.6000000000000002E-2</v>
      </c>
      <c r="D12" s="38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212</v>
      </c>
      <c r="D14" s="184">
        <f>MIN('FCFF Model'!C30,'FCFF Model'!E30)</f>
        <v>7.7500154287909053</v>
      </c>
      <c r="E14" s="127" t="s">
        <v>227</v>
      </c>
      <c r="F14" s="184">
        <f>MAX('FCFF Model'!C30,'FCFF Model'!E30)</f>
        <v>7.7716988099810527</v>
      </c>
      <c r="G14" s="185" t="s">
        <v>24</v>
      </c>
      <c r="H14" s="193">
        <f>IF('FCFF Model'!C33&lt;0, "Error", 'FCFF Model'!C33)</f>
        <v>7.7599728209490069</v>
      </c>
      <c r="I14" s="133"/>
      <c r="J14" s="133"/>
    </row>
    <row r="15" spans="1:12" ht="15.75" customHeight="1" x14ac:dyDescent="0.4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4.0599999999999996</v>
      </c>
      <c r="C16" s="389">
        <v>0.1</v>
      </c>
      <c r="D16" s="159" t="str">
        <f>IF(B17='FCFF Model'!G29,"Net Asset", H14/B16-1-C16)</f>
        <v>Net Asset</v>
      </c>
      <c r="E16" s="384">
        <f>'FCFF Model'!D11*Exchange_Rate</f>
        <v>0</v>
      </c>
      <c r="F16" s="161">
        <f>E16/B16</f>
        <v>0</v>
      </c>
      <c r="G16" s="392" t="s">
        <v>25</v>
      </c>
      <c r="H16" s="417">
        <f>('FCFF Model'!G19)*Exchange_Rate</f>
        <v>7.7716988099810527</v>
      </c>
      <c r="I16" s="392" t="s">
        <v>26</v>
      </c>
      <c r="J16" s="206">
        <f>B16-$H$16</f>
        <v>-3.7116988099810531</v>
      </c>
    </row>
    <row r="17" spans="1:10" ht="15.75" customHeight="1" x14ac:dyDescent="0.4">
      <c r="B17" s="289">
        <f>MAX(H14/(1+C16),'FCFF Model'!G29)</f>
        <v>7.7716988099810527</v>
      </c>
      <c r="C17" s="390"/>
      <c r="D17" s="288" t="str">
        <f>IF(B17='FCFF Model'!G29,"Net Asset",H14/B17-1-C16)</f>
        <v>Net Asset</v>
      </c>
      <c r="E17" s="385"/>
      <c r="F17" s="162">
        <f>E16/B17</f>
        <v>0</v>
      </c>
      <c r="G17" s="393"/>
      <c r="H17" s="418"/>
      <c r="I17" s="393"/>
      <c r="J17" s="205">
        <f>B17-$H$16</f>
        <v>0</v>
      </c>
    </row>
    <row r="18" spans="1:10" ht="15.75" customHeight="1" x14ac:dyDescent="0.4">
      <c r="B18" s="355">
        <f>C35</f>
        <v>3.5</v>
      </c>
      <c r="C18" s="391"/>
      <c r="D18" s="160" t="str">
        <f>IF(B17='FCFF Model'!G29,"NA: "&amp;ROUND('FCFF Model'!G29/B18-1,2)*100&amp;"%", H14/B18-1-C16)</f>
        <v>NA: 122%</v>
      </c>
      <c r="E18" s="386"/>
      <c r="F18" s="163">
        <f>E16/B18</f>
        <v>0</v>
      </c>
      <c r="G18" s="394"/>
      <c r="H18" s="419"/>
      <c r="I18" s="394"/>
      <c r="J18" s="207">
        <f>B18-$H$16</f>
        <v>-4.2716988099810527</v>
      </c>
    </row>
    <row r="19" spans="1:10" ht="15.7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246</v>
      </c>
      <c r="D20" s="290" t="s">
        <v>334</v>
      </c>
      <c r="E20" s="266" t="s">
        <v>256</v>
      </c>
      <c r="G20" s="6"/>
      <c r="H20" s="6"/>
      <c r="I20" s="357"/>
    </row>
    <row r="21" spans="1:10" ht="15.75" customHeight="1" x14ac:dyDescent="0.4">
      <c r="A21" s="6"/>
      <c r="B21" s="24" t="s">
        <v>28</v>
      </c>
      <c r="C21" s="408"/>
      <c r="D21" s="409"/>
      <c r="E21" s="409"/>
      <c r="F21" s="409"/>
      <c r="G21" s="409"/>
      <c r="H21" s="409"/>
      <c r="I21" s="409"/>
      <c r="J21" s="410"/>
    </row>
    <row r="22" spans="1:10" ht="52.5" customHeight="1" x14ac:dyDescent="0.4">
      <c r="A22" s="6"/>
      <c r="B22" s="24" t="s">
        <v>29</v>
      </c>
      <c r="C22" s="421"/>
      <c r="D22" s="422"/>
      <c r="E22" s="422"/>
      <c r="F22" s="422"/>
      <c r="G22" s="421"/>
      <c r="H22" s="421"/>
      <c r="I22" s="422"/>
      <c r="J22" s="422"/>
    </row>
    <row r="23" spans="1:10" ht="52.5" customHeight="1" x14ac:dyDescent="0.4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6.2079782567592057</v>
      </c>
    </row>
    <row r="26" spans="1:10" ht="15.75" customHeight="1" x14ac:dyDescent="0.4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 x14ac:dyDescent="0.4">
      <c r="B27" s="23" t="s">
        <v>35</v>
      </c>
      <c r="C27" s="383">
        <f>C31/D25</f>
        <v>0.23333333333333334</v>
      </c>
      <c r="D27" s="382"/>
      <c r="E27" s="381">
        <f>E31/D25</f>
        <v>0.17499999999999999</v>
      </c>
      <c r="F27" s="382"/>
      <c r="G27" s="396">
        <f>G31/D25</f>
        <v>0.10533333333333333</v>
      </c>
      <c r="H27" s="397"/>
      <c r="I27" s="395">
        <f>C27+E27+G27</f>
        <v>0.51366666666666672</v>
      </c>
      <c r="J27" s="395"/>
    </row>
    <row r="28" spans="1:10" ht="15.75" customHeight="1" x14ac:dyDescent="0.4">
      <c r="B28" s="23" t="s">
        <v>36</v>
      </c>
      <c r="C28" s="372">
        <v>40000</v>
      </c>
      <c r="D28" s="422"/>
      <c r="E28" s="372">
        <v>30000</v>
      </c>
      <c r="F28" s="422"/>
      <c r="G28" s="413">
        <v>40000</v>
      </c>
      <c r="H28" s="414"/>
      <c r="I28" s="437">
        <f>C28+E28+G28</f>
        <v>110000</v>
      </c>
      <c r="J28" s="437"/>
    </row>
    <row r="29" spans="1:10" ht="15.75" customHeight="1" x14ac:dyDescent="0.4">
      <c r="B29" s="23" t="s">
        <v>37</v>
      </c>
      <c r="C29" s="447">
        <v>3.5</v>
      </c>
      <c r="D29" s="422"/>
      <c r="E29" s="447">
        <v>3.5</v>
      </c>
      <c r="F29" s="422"/>
      <c r="G29" s="427">
        <v>1.58</v>
      </c>
      <c r="H29" s="428"/>
      <c r="I29" s="433"/>
      <c r="J29" s="433"/>
    </row>
    <row r="30" spans="1:10" ht="15.75" customHeight="1" x14ac:dyDescent="0.4">
      <c r="B30" s="23" t="s">
        <v>38</v>
      </c>
      <c r="C30" s="435">
        <f>C29*$I$5/1000000</f>
        <v>2161.3585280000002</v>
      </c>
      <c r="D30" s="442"/>
      <c r="E30" s="435">
        <f>E29*$I$5/1000000</f>
        <v>2161.3585280000002</v>
      </c>
      <c r="F30" s="442"/>
      <c r="G30" s="429">
        <f>G29*$I$5/1000000</f>
        <v>975.69899264000003</v>
      </c>
      <c r="H30" s="430"/>
      <c r="I30" s="434"/>
      <c r="J30" s="434"/>
    </row>
    <row r="31" spans="1:10" ht="15.75" customHeight="1" x14ac:dyDescent="0.4">
      <c r="B31" s="2" t="s">
        <v>39</v>
      </c>
      <c r="C31" s="443">
        <f>C28*C29</f>
        <v>140000</v>
      </c>
      <c r="D31" s="444"/>
      <c r="E31" s="436">
        <f>E28*E29</f>
        <v>105000</v>
      </c>
      <c r="F31" s="445"/>
      <c r="G31" s="431">
        <f>G28*G29</f>
        <v>63200</v>
      </c>
      <c r="H31" s="432"/>
      <c r="I31" s="436">
        <f>C31+E31+G31</f>
        <v>308200</v>
      </c>
      <c r="J31" s="436"/>
    </row>
    <row r="32" spans="1:10" ht="15.75" customHeight="1" x14ac:dyDescent="0.4">
      <c r="B32" s="1" t="s">
        <v>40</v>
      </c>
      <c r="C32" s="438"/>
      <c r="D32" s="439"/>
      <c r="E32" s="446">
        <f>IF(C31=0,"-",(C31+E31)/(C28+E28))</f>
        <v>3.5</v>
      </c>
      <c r="F32" s="382"/>
      <c r="G32" s="117"/>
      <c r="H32" s="117"/>
      <c r="I32" s="446">
        <f>IF(I31=0,"",I31/I28)</f>
        <v>2.8018181818181818</v>
      </c>
      <c r="J32" s="446"/>
    </row>
    <row r="33" spans="2:11" ht="15.75" customHeight="1" x14ac:dyDescent="0.4">
      <c r="B33" s="1" t="s">
        <v>41</v>
      </c>
      <c r="C33" s="440"/>
      <c r="D33" s="441"/>
      <c r="E33" s="435">
        <f>IF(E32="-","-",E32*$I$5/1000000)</f>
        <v>2161.3585280000002</v>
      </c>
      <c r="F33" s="442"/>
      <c r="G33" s="118"/>
      <c r="H33" s="118"/>
      <c r="I33" s="435">
        <f>IF(I32="","",I32*$I$5/1000000)</f>
        <v>1730.2096060509091</v>
      </c>
      <c r="J33" s="435"/>
    </row>
    <row r="34" spans="2:11" ht="15.75" customHeight="1" x14ac:dyDescent="0.4"/>
    <row r="35" spans="2:11" ht="15.75" customHeight="1" x14ac:dyDescent="0.4">
      <c r="B35" s="146" t="s">
        <v>309</v>
      </c>
      <c r="C35" s="370">
        <f>E29</f>
        <v>3.5</v>
      </c>
      <c r="D35" s="371"/>
      <c r="G35" s="374" t="s">
        <v>311</v>
      </c>
      <c r="H35" s="375"/>
      <c r="I35" s="370">
        <f>F14</f>
        <v>7.7716988099810527</v>
      </c>
      <c r="J35" s="371"/>
    </row>
    <row r="36" spans="2:11" ht="15.75" customHeight="1" x14ac:dyDescent="0.4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</v>
      </c>
      <c r="J36" s="378"/>
    </row>
    <row r="37" spans="2:11" ht="15.75" customHeight="1" x14ac:dyDescent="0.4"/>
    <row r="38" spans="2:11" ht="15.75" customHeight="1" x14ac:dyDescent="0.4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4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4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4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4">
      <c r="B42" s="3" t="s">
        <v>338</v>
      </c>
      <c r="E42" s="358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  <c r="G42" s="74" t="s">
        <v>326</v>
      </c>
      <c r="H42" s="74"/>
      <c r="I42" s="74"/>
      <c r="J42" s="74"/>
    </row>
    <row r="43" spans="2:11" ht="15.75" customHeight="1" x14ac:dyDescent="0.4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4"/>
    <row r="45" spans="2:11" ht="15.75" customHeight="1" x14ac:dyDescent="0.4">
      <c r="B45" s="3" t="s">
        <v>327</v>
      </c>
      <c r="F45" s="365">
        <f>I35/C29-1</f>
        <v>1.2204853742803006</v>
      </c>
    </row>
    <row r="46" spans="2:11" ht="15.75" customHeight="1" x14ac:dyDescent="0.4">
      <c r="B46" s="3" t="s">
        <v>328</v>
      </c>
      <c r="F46" s="365">
        <f>D14/C29-1</f>
        <v>1.2142901225116871</v>
      </c>
    </row>
    <row r="47" spans="2:11" ht="15.75" customHeight="1" x14ac:dyDescent="0.4"/>
    <row r="48" spans="2:11" ht="15.75" customHeight="1" x14ac:dyDescent="0.4">
      <c r="B48" s="3" t="s">
        <v>330</v>
      </c>
      <c r="F48" s="214">
        <f>IF(F45&lt;=0,0,AVERAGE(F39:F41,1-F43,E42))</f>
        <v>0.64784353741496603</v>
      </c>
      <c r="G48" s="74"/>
    </row>
    <row r="49" spans="2:8" ht="15.75" customHeight="1" x14ac:dyDescent="0.4">
      <c r="B49" s="3" t="s">
        <v>329</v>
      </c>
      <c r="D49" s="367">
        <f>IF(F42="Strongly Agree",2,IF(F42="Agree",3,4))</f>
        <v>2</v>
      </c>
      <c r="E49" s="363">
        <f>F45/ABS(F46)</f>
        <v>1.0051019535230996</v>
      </c>
      <c r="F49" s="360">
        <f>IF(F46&gt;=0,100,F45/ABS(F46))</f>
        <v>100</v>
      </c>
      <c r="G49" s="74"/>
    </row>
    <row r="50" spans="2:8" ht="15.75" customHeight="1" x14ac:dyDescent="0.4">
      <c r="B50" s="368" t="str">
        <f>IF(D49=2,"⇒ 1/2 Kelly %",IF(D49=3, "⇒ 1/3 Kelly %", "⇒ 1/4 Kelly %"))</f>
        <v>⇒ 1/2 Kelly %</v>
      </c>
      <c r="C50" s="85" t="str">
        <f>" [W – (1 – W)/R] /"&amp;D49</f>
        <v xml:space="preserve"> [W – (1 – W)/R] /2</v>
      </c>
      <c r="E50" s="107">
        <f>MAX(F48-ABS((1-F48)/F49),0)/D49</f>
        <v>0.32216098639455787</v>
      </c>
      <c r="F50" s="359">
        <f>MIN(E50,H50)</f>
        <v>0.32216098639455787</v>
      </c>
      <c r="G50" s="362" t="s">
        <v>332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8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C28:G29 I26 I28:I29">
    <cfRule type="containsBlanks" priority="23">
      <formula>LEN(TRIM(C26))=0</formula>
    </cfRule>
  </conditionalFormatting>
  <conditionalFormatting sqref="D16 D18">
    <cfRule type="cellIs" dxfId="17" priority="19" operator="lessThan">
      <formula>0</formula>
    </cfRule>
  </conditionalFormatting>
  <conditionalFormatting sqref="E26:H26">
    <cfRule type="containsBlanks" dxfId="16" priority="7">
      <formula>LEN(TRIM(E26))=0</formula>
    </cfRule>
  </conditionalFormatting>
  <conditionalFormatting sqref="H14">
    <cfRule type="cellIs" dxfId="14" priority="11" operator="greaterThan">
      <formula>$B$16</formula>
    </cfRule>
  </conditionalFormatting>
  <conditionalFormatting sqref="H16">
    <cfRule type="cellIs" dxfId="13" priority="14" operator="greaterThan">
      <formula>$B$16</formula>
    </cfRule>
  </conditionalFormatting>
  <conditionalFormatting sqref="I16">
    <cfRule type="cellIs" dxfId="12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1AF2AA65-8096-4785-944B-F4E7DFE15061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8" sqref="C38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2900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-55500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4">
      <c r="A7" s="9"/>
      <c r="B7" s="43" t="s">
        <v>45</v>
      </c>
      <c r="C7" s="35">
        <v>131900</v>
      </c>
      <c r="D7" s="35">
        <v>73800</v>
      </c>
      <c r="E7" s="35">
        <v>43000</v>
      </c>
      <c r="F7" s="35">
        <v>368400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0.7872628726287263</v>
      </c>
      <c r="D8" s="14">
        <f t="shared" si="1"/>
        <v>0.71627906976744193</v>
      </c>
      <c r="E8" s="14">
        <f t="shared" si="1"/>
        <v>-0.88327904451682948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128900</v>
      </c>
      <c r="D9" s="35">
        <v>70500</v>
      </c>
      <c r="E9" s="35">
        <v>43600</v>
      </c>
      <c r="F9" s="35">
        <v>306500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2.2744503411675512E-2</v>
      </c>
      <c r="D10" s="14">
        <f t="shared" si="2"/>
        <v>4.4715447154471545E-2</v>
      </c>
      <c r="E10" s="14">
        <f t="shared" si="2"/>
        <v>-1.3953488372093023E-2</v>
      </c>
      <c r="F10" s="14">
        <f t="shared" si="2"/>
        <v>0.16802388707926166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58500</v>
      </c>
      <c r="D11" s="35">
        <v>62500</v>
      </c>
      <c r="E11" s="35">
        <v>63300</v>
      </c>
      <c r="F11" s="35">
        <v>57200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0.44351781652767247</v>
      </c>
      <c r="D12" s="14">
        <f t="shared" si="3"/>
        <v>0.84688346883468835</v>
      </c>
      <c r="E12" s="14">
        <f t="shared" si="3"/>
        <v>1.4720930232558138</v>
      </c>
      <c r="F12" s="14">
        <f t="shared" si="3"/>
        <v>0.15526601520086861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-0.42077331311599697</v>
      </c>
      <c r="D13" s="14">
        <f t="shared" si="4"/>
        <v>-0.80216802168021684</v>
      </c>
      <c r="E13" s="14">
        <f t="shared" si="4"/>
        <v>-1.4860465116279069</v>
      </c>
      <c r="F13" s="14">
        <f t="shared" si="4"/>
        <v>1.2757871878393051E-2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-55500</v>
      </c>
      <c r="D14" s="27">
        <f t="shared" si="5"/>
        <v>-59200</v>
      </c>
      <c r="E14" s="27">
        <f t="shared" si="5"/>
        <v>-63900</v>
      </c>
      <c r="F14" s="27">
        <f t="shared" si="5"/>
        <v>4700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6.25E-2</v>
      </c>
      <c r="D15" s="14">
        <f t="shared" ref="D15:M15" si="6">IF(E14="","",IF(ABS(D14+E14)=ABS(D14)+ABS(E14),IF(D14&lt;0,-1,1)*(D14-E14)/E14,"Turn"))</f>
        <v>7.3552425665101728E-2</v>
      </c>
      <c r="E15" s="14" t="str">
        <f t="shared" si="6"/>
        <v>Turn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IF(C14="","",C14*(1-Operation!$D$17))</f>
        <v>-55500</v>
      </c>
      <c r="D16" s="143">
        <f>IF(D14="","",D14*(1-Operation!$D$17))</f>
        <v>-59200</v>
      </c>
      <c r="E16" s="143">
        <f>IF(E14="","",E14*(1-Operation!$D$17))</f>
        <v>-63900</v>
      </c>
      <c r="F16" s="143">
        <f>IF(F14="","",F14*(1-Operation!$D$17))</f>
        <v>4700</v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-0.42077331311599697</v>
      </c>
      <c r="D17" s="129">
        <f t="shared" si="7"/>
        <v>-0.80216802168021684</v>
      </c>
      <c r="E17" s="129">
        <f t="shared" si="7"/>
        <v>-1.4860465116279069</v>
      </c>
      <c r="F17" s="129">
        <f t="shared" si="7"/>
        <v>1.2757871878393051E-2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249</v>
      </c>
      <c r="C18" s="144">
        <v>3100</v>
      </c>
      <c r="D18" s="144">
        <v>9900</v>
      </c>
      <c r="E18" s="144">
        <v>15600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2900</v>
      </c>
      <c r="D19" s="35">
        <v>-28200</v>
      </c>
      <c r="E19" s="35">
        <v>124700</v>
      </c>
      <c r="F19" s="35">
        <v>231600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264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-0.46157167530224524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6700700</v>
      </c>
      <c r="D21" s="35">
        <v>6885700</v>
      </c>
      <c r="E21" s="35">
        <v>7198800</v>
      </c>
      <c r="F21" s="35">
        <v>7412800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168400</v>
      </c>
      <c r="D22" s="35">
        <v>293000</v>
      </c>
      <c r="E22" s="35">
        <v>191500</v>
      </c>
      <c r="F22" s="35">
        <v>536800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13400</v>
      </c>
      <c r="D23" s="35">
        <v>154800</v>
      </c>
      <c r="E23" s="35">
        <v>11200</v>
      </c>
      <c r="F23" s="35">
        <v>289900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13400</v>
      </c>
      <c r="D24" s="140">
        <v>12900</v>
      </c>
      <c r="E24" s="140">
        <v>11200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126000</v>
      </c>
      <c r="D25" s="35">
        <v>48300</v>
      </c>
      <c r="E25" s="35">
        <v>276700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34900</v>
      </c>
      <c r="D26" s="140">
        <v>48300</v>
      </c>
      <c r="E26" s="140">
        <v>57800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139400</v>
      </c>
      <c r="D27" s="27">
        <f t="shared" si="9"/>
        <v>203100</v>
      </c>
      <c r="E27" s="27">
        <f t="shared" si="9"/>
        <v>287900</v>
      </c>
      <c r="F27" s="27">
        <f t="shared" si="9"/>
        <v>289900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6676300</v>
      </c>
      <c r="D28" s="35">
        <v>6822900</v>
      </c>
      <c r="E28" s="35">
        <v>6996300</v>
      </c>
      <c r="F28" s="35">
        <v>7086600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206</v>
      </c>
      <c r="C29" s="175">
        <v>6676300</v>
      </c>
      <c r="D29" s="140">
        <v>6822900</v>
      </c>
      <c r="E29" s="140">
        <v>6996300</v>
      </c>
      <c r="F29" s="140">
        <v>7086600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55700</v>
      </c>
      <c r="D30" s="35">
        <v>69600</v>
      </c>
      <c r="E30" s="35">
        <v>79200</v>
      </c>
      <c r="F30" s="35">
        <v>11100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228</v>
      </c>
      <c r="C31" s="176">
        <v>1652300</v>
      </c>
      <c r="D31" s="35">
        <v>1980400</v>
      </c>
      <c r="E31" s="35">
        <v>3542600</v>
      </c>
      <c r="F31" s="35">
        <v>3817900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-0.24955116696588869</v>
      </c>
      <c r="D32" s="14">
        <f t="shared" si="10"/>
        <v>-0.13793103448275862</v>
      </c>
      <c r="E32" s="14">
        <f t="shared" si="10"/>
        <v>0.85984848484848486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4008.9000000000005</v>
      </c>
      <c r="D33" s="248">
        <f>IF(E7="","",(D7-E7)*Asset_Model!$D$65)</f>
        <v>2125.2000000000003</v>
      </c>
      <c r="E33" s="248">
        <f>IF(F7="","",(E7-F7)*Asset_Model!$D$65)</f>
        <v>-22452.600000000002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-9891.0999999999985</v>
      </c>
      <c r="D34" s="143">
        <f>IF(E7="","",D30-E30+D33+IF($C$49="Yes",D51,0))</f>
        <v>-7474.7999999999993</v>
      </c>
      <c r="E34" s="143">
        <f t="shared" ref="E34:F34" si="11">IF(F7="","",E30-F30+E33+IF($C$49="Yes",E51,0))</f>
        <v>45647.399999999994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0.17821801801801798</v>
      </c>
      <c r="D35" s="239">
        <f t="shared" si="19"/>
        <v>0.1262635135135135</v>
      </c>
      <c r="E35" s="239">
        <f t="shared" si="19"/>
        <v>-0.71435680751173702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250</v>
      </c>
      <c r="C37" s="165">
        <v>148200</v>
      </c>
      <c r="D37" s="165">
        <v>148200</v>
      </c>
      <c r="E37" s="165">
        <v>216100</v>
      </c>
      <c r="F37" s="165">
        <v>216100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202</v>
      </c>
      <c r="C39" s="170">
        <f t="shared" ref="C39:M39" si="20">IF(C37="","",C37*$C$4/Common_Shares)</f>
        <v>0.23998794891284228</v>
      </c>
      <c r="D39" s="170">
        <f t="shared" si="20"/>
        <v>0.23998794891284228</v>
      </c>
      <c r="E39" s="170">
        <f t="shared" si="20"/>
        <v>0.34994194170084492</v>
      </c>
      <c r="F39" s="170">
        <f t="shared" si="20"/>
        <v>0.34994194170084492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1.8872728906729776E-2</v>
      </c>
      <c r="D42" s="48">
        <f t="shared" ref="D42:M42" si="22">IF(D29="","",D25/D29)</f>
        <v>7.0791012619267468E-3</v>
      </c>
      <c r="E42" s="48">
        <f t="shared" si="22"/>
        <v>3.9549476151680175E-2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245</v>
      </c>
      <c r="C43" s="14">
        <f t="shared" ref="C43:M43" si="23">IF(C29="","",C27/C29)</f>
        <v>2.0879828647604213E-2</v>
      </c>
      <c r="D43" s="14">
        <f t="shared" si="23"/>
        <v>2.9767400958536694E-2</v>
      </c>
      <c r="E43" s="14">
        <f t="shared" si="23"/>
        <v>4.1150322313222701E-2</v>
      </c>
      <c r="F43" s="14">
        <f t="shared" si="23"/>
        <v>4.0908192927496964E-2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-0.39813486370157819</v>
      </c>
      <c r="D44" s="50">
        <f t="shared" si="24"/>
        <v>-0.29148202855736088</v>
      </c>
      <c r="E44" s="50">
        <f t="shared" si="24"/>
        <v>-0.22195206668982287</v>
      </c>
      <c r="F44" s="50">
        <f t="shared" si="24"/>
        <v>1.6212487064505003E-2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-5.5855855855855854E-2</v>
      </c>
      <c r="D45" s="14">
        <f t="shared" si="25"/>
        <v>-0.16722972972972974</v>
      </c>
      <c r="E45" s="14">
        <f t="shared" si="25"/>
        <v>-0.24413145539906103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39.790380047505941</v>
      </c>
      <c r="D46" s="51">
        <f t="shared" si="26"/>
        <v>23.500682593856656</v>
      </c>
      <c r="E46" s="51">
        <f t="shared" si="26"/>
        <v>37.591644908616189</v>
      </c>
      <c r="F46" s="51">
        <f t="shared" si="26"/>
        <v>13.809239940387481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2" type="noConversion"/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" workbookViewId="0">
      <selection activeCell="F20" sqref="F20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4">
      <c r="B3" s="5" t="s">
        <v>251</v>
      </c>
      <c r="C3" s="6"/>
      <c r="D3" s="273">
        <v>6569800</v>
      </c>
      <c r="E3" s="156" t="str">
        <f>IF((C46-I46)=D3,"", "Error!")</f>
        <v/>
      </c>
      <c r="F3" s="6"/>
      <c r="G3" s="6"/>
      <c r="H3" s="274" t="s">
        <v>252</v>
      </c>
      <c r="I3" s="275">
        <v>6569800</v>
      </c>
      <c r="K3" s="74"/>
    </row>
    <row r="4" spans="1:11" ht="15" customHeight="1" x14ac:dyDescent="0.4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10.638817994383206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4889975</v>
      </c>
      <c r="E6" s="14">
        <f>1-D6/D3</f>
        <v>0.25568890986026971</v>
      </c>
      <c r="F6" s="6"/>
      <c r="G6" s="6"/>
      <c r="H6" s="3" t="s">
        <v>312</v>
      </c>
      <c r="I6" s="69">
        <f>C26/I26</f>
        <v>23.636198766775479</v>
      </c>
      <c r="J6" s="6"/>
      <c r="K6" s="74"/>
    </row>
    <row r="7" spans="1:11" ht="15" customHeight="1" thickBot="1" x14ac:dyDescent="0.45">
      <c r="B7" s="53" t="s">
        <v>85</v>
      </c>
      <c r="D7" s="61">
        <f>MAX((D6*Exchange_Rate*Data!C4)/Dashboard!I5, 0)</f>
        <v>7.9185902191975437</v>
      </c>
      <c r="E7" s="49" t="str">
        <f>Dashboard!J4</f>
        <v>HKD</v>
      </c>
      <c r="H7" s="3" t="s">
        <v>313</v>
      </c>
      <c r="I7" s="69">
        <f>C25/I26</f>
        <v>5.6590496916938697</v>
      </c>
      <c r="J7" s="6"/>
      <c r="K7" s="116"/>
    </row>
    <row r="8" spans="1:11" ht="15" customHeight="1" x14ac:dyDescent="0.4">
      <c r="D8" s="6"/>
      <c r="H8" s="3" t="s">
        <v>314</v>
      </c>
      <c r="I8" s="69">
        <f>C24/I26</f>
        <v>5.5992020311933262</v>
      </c>
      <c r="K8" s="74"/>
    </row>
    <row r="9" spans="1:11" ht="15" customHeight="1" x14ac:dyDescent="0.4">
      <c r="A9" s="4"/>
      <c r="B9" s="268" t="s">
        <v>247</v>
      </c>
      <c r="C9" s="255"/>
      <c r="D9" s="271">
        <v>44834</v>
      </c>
      <c r="E9" s="290" t="s">
        <v>341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1505300</v>
      </c>
      <c r="D11" s="65">
        <v>1</v>
      </c>
      <c r="E11" s="27">
        <f t="shared" ref="E11:E21" si="0">C11*D11</f>
        <v>1505300</v>
      </c>
      <c r="F11" s="6"/>
      <c r="G11" s="6"/>
      <c r="H11" s="5" t="s">
        <v>92</v>
      </c>
      <c r="I11" s="64">
        <v>112400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10500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38400</v>
      </c>
      <c r="D14" s="65">
        <v>0.85</v>
      </c>
      <c r="E14" s="27">
        <f t="shared" si="0"/>
        <v>32640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152800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v>16500</v>
      </c>
      <c r="D17" s="65">
        <v>0.4</v>
      </c>
      <c r="E17" s="27">
        <f t="shared" si="0"/>
        <v>6600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3.9" x14ac:dyDescent="0.4">
      <c r="B19" s="3" t="s">
        <v>103</v>
      </c>
      <c r="C19" s="64">
        <v>3061900</v>
      </c>
      <c r="D19" s="65">
        <v>0.75</v>
      </c>
      <c r="E19" s="27">
        <f t="shared" si="0"/>
        <v>2296425</v>
      </c>
      <c r="F19" s="204" t="s">
        <v>236</v>
      </c>
      <c r="G19" s="94">
        <f>IF(F19="Y",0,1)</f>
        <v>1</v>
      </c>
      <c r="H19" s="5"/>
      <c r="I19" s="154"/>
    </row>
    <row r="20" spans="2:10" ht="13.9" x14ac:dyDescent="0.4">
      <c r="B20" s="5" t="s">
        <v>104</v>
      </c>
      <c r="C20" s="64">
        <v>1894400</v>
      </c>
      <c r="D20" s="65">
        <v>0.6</v>
      </c>
      <c r="E20" s="27">
        <f t="shared" si="0"/>
        <v>1136640</v>
      </c>
      <c r="F20" s="204" t="s">
        <v>236</v>
      </c>
      <c r="G20" s="94">
        <f>IF(F20="Y",0,1)</f>
        <v>1</v>
      </c>
      <c r="H20" s="5"/>
      <c r="I20" s="154"/>
    </row>
    <row r="21" spans="2:10" ht="13.9" x14ac:dyDescent="0.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1543700</v>
      </c>
      <c r="D24" s="68">
        <f>IF(E24=0,0,E24/C24)</f>
        <v>0.99626870505927323</v>
      </c>
      <c r="E24" s="27">
        <f>SUM(E11:E14)</f>
        <v>1537940</v>
      </c>
      <c r="F24" s="6"/>
      <c r="G24" s="6"/>
      <c r="H24" s="66" t="s">
        <v>315</v>
      </c>
      <c r="I24" s="69">
        <f>E24/($I$26-I15)</f>
        <v>12.513751017087063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1560200</v>
      </c>
      <c r="D25" s="68">
        <f>IF(E25=0,0,E25/C25)</f>
        <v>0.98996282527881041</v>
      </c>
      <c r="E25" s="27">
        <f>E24+SUM(E15:E17)</f>
        <v>1544540</v>
      </c>
      <c r="F25" s="6"/>
      <c r="G25" s="6"/>
      <c r="H25" s="66" t="s">
        <v>319</v>
      </c>
      <c r="I25" s="69">
        <f>E25/$I$26</f>
        <v>5.602248821182445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6516500</v>
      </c>
      <c r="D26" s="14">
        <f t="shared" ref="D26" si="2">E26/C26</f>
        <v>0.76384638993324638</v>
      </c>
      <c r="E26" s="27">
        <f>SUM(E11:E22)</f>
        <v>4977605</v>
      </c>
      <c r="H26" s="5" t="s">
        <v>58</v>
      </c>
      <c r="I26" s="64">
        <v>275700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21600</v>
      </c>
      <c r="J29" s="6"/>
    </row>
    <row r="30" spans="2:10" ht="15" customHeight="1" x14ac:dyDescent="0.4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f>108600+100</f>
        <v>108700</v>
      </c>
      <c r="D32" s="65">
        <v>0.8</v>
      </c>
      <c r="E32" s="27">
        <f t="shared" si="3"/>
        <v>86960</v>
      </c>
      <c r="G32" s="6"/>
      <c r="H32" s="5" t="s">
        <v>118</v>
      </c>
      <c r="I32" s="155">
        <v>18682</v>
      </c>
      <c r="J32" s="6"/>
    </row>
    <row r="33" spans="2:10" ht="13.9" x14ac:dyDescent="0.4">
      <c r="B33" s="5" t="s">
        <v>119</v>
      </c>
      <c r="C33" s="64">
        <v>165800</v>
      </c>
      <c r="D33" s="65">
        <v>0.6</v>
      </c>
      <c r="E33" s="220">
        <f t="shared" si="3"/>
        <v>99480</v>
      </c>
      <c r="F33" s="204" t="s">
        <v>235</v>
      </c>
      <c r="G33" s="94">
        <f>IF(F33="Y",0,1)</f>
        <v>0</v>
      </c>
      <c r="J33" s="6"/>
    </row>
    <row r="34" spans="2:10" ht="13.9" x14ac:dyDescent="0.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236</v>
      </c>
      <c r="G34" s="94">
        <f>IF(F34="Y",0,1)</f>
        <v>1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236</v>
      </c>
      <c r="G35" s="94">
        <f>IF(F35="Y",0,1)</f>
        <v>1</v>
      </c>
    </row>
    <row r="36" spans="2:10" ht="15" customHeight="1" x14ac:dyDescent="0.4">
      <c r="B36" s="5" t="s">
        <v>293</v>
      </c>
      <c r="C36" s="64">
        <f>37900+1400</f>
        <v>39300</v>
      </c>
      <c r="D36" s="65">
        <v>0.4</v>
      </c>
      <c r="E36" s="27">
        <f t="shared" si="3"/>
        <v>15720</v>
      </c>
      <c r="F36" s="6"/>
      <c r="G36" s="6"/>
    </row>
    <row r="37" spans="2:10" ht="13.9" x14ac:dyDescent="0.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4">
      <c r="B39" s="5" t="s">
        <v>122</v>
      </c>
      <c r="C39" s="64">
        <v>41000</v>
      </c>
      <c r="D39" s="65">
        <v>0.95</v>
      </c>
      <c r="E39" s="27">
        <f t="shared" si="3"/>
        <v>38950</v>
      </c>
      <c r="F39" s="6"/>
      <c r="G39" s="6"/>
    </row>
    <row r="40" spans="2:10" ht="15" customHeight="1" x14ac:dyDescent="0.4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354800</v>
      </c>
      <c r="D42" s="14">
        <f>E42/C42</f>
        <v>0.67956595264937991</v>
      </c>
      <c r="E42" s="27">
        <f>SUM(E28:E40)</f>
        <v>241110</v>
      </c>
      <c r="F42" s="6"/>
      <c r="G42" s="6"/>
      <c r="H42" s="5" t="s">
        <v>125</v>
      </c>
      <c r="I42" s="64">
        <v>25800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1543700</v>
      </c>
      <c r="D44" s="68">
        <f>IF(E44=0,0,E44/C44)</f>
        <v>0.99626870505927323</v>
      </c>
      <c r="E44" s="27">
        <f>E24+SUM(E28:E29)</f>
        <v>1537940</v>
      </c>
      <c r="F44" s="6"/>
      <c r="G44" s="6"/>
      <c r="H44" s="66" t="s">
        <v>316</v>
      </c>
      <c r="I44" s="69">
        <f>E44/(I46-I15-I32)</f>
        <v>11.828669876478642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1834700</v>
      </c>
      <c r="D45" s="68">
        <f>IF(E45=0,0,E45/C45)</f>
        <v>0.94346759688232407</v>
      </c>
      <c r="E45" s="27">
        <f>E44+(E25-E24)+SUM(E30:E33)</f>
        <v>1730980</v>
      </c>
      <c r="F45" s="6"/>
      <c r="G45" s="6"/>
      <c r="H45" s="66" t="s">
        <v>320</v>
      </c>
      <c r="I45" s="69">
        <f>E45/$I$46</f>
        <v>5.7412271973466007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6871300</v>
      </c>
      <c r="D46" s="14">
        <f>E46/C46</f>
        <v>0.75949456434735785</v>
      </c>
      <c r="E46" s="27">
        <f>E26+E42</f>
        <v>5218715</v>
      </c>
      <c r="F46" s="6"/>
      <c r="G46" s="6"/>
      <c r="H46" s="5" t="s">
        <v>317</v>
      </c>
      <c r="I46" s="155">
        <f>I26+I42</f>
        <v>301500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129</v>
      </c>
      <c r="C48" s="21"/>
      <c r="D48" s="52"/>
    </row>
    <row r="49" spans="2:9" ht="13.9" x14ac:dyDescent="0.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258</v>
      </c>
      <c r="C52" s="5"/>
      <c r="D52" s="448">
        <f>D53+D54+D55</f>
        <v>144500</v>
      </c>
      <c r="E52" s="449"/>
      <c r="F52" s="53"/>
      <c r="G52" s="53"/>
    </row>
    <row r="53" spans="2:9" ht="14.25" thickTop="1" x14ac:dyDescent="0.4">
      <c r="B53" s="58" t="s">
        <v>229</v>
      </c>
      <c r="C53" s="6"/>
      <c r="D53" s="451">
        <f>SUM(I11:I13)+SUM(I28:I30)</f>
        <v>144500</v>
      </c>
      <c r="E53" s="444"/>
      <c r="F53" s="5"/>
      <c r="G53" s="5"/>
      <c r="H53" s="3" t="s">
        <v>318</v>
      </c>
      <c r="I53" s="14">
        <f>D53/I3</f>
        <v>2.1994581265791957E-2</v>
      </c>
    </row>
    <row r="54" spans="2:9" ht="13.9" x14ac:dyDescent="0.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4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134</v>
      </c>
      <c r="C57" s="5"/>
      <c r="D57" s="450"/>
      <c r="E57" s="450"/>
      <c r="F57" s="19"/>
      <c r="G57" s="19"/>
    </row>
    <row r="58" spans="2:9" ht="15" customHeight="1" x14ac:dyDescent="0.4">
      <c r="B58" s="53" t="s">
        <v>230</v>
      </c>
      <c r="C58" s="213">
        <f>C14+C15+(C19*G19)+(C20*G20)+C29+C30+(C31*G31)+(C33*G33)+(C34*G34)+(C35*G35)</f>
        <v>4994700</v>
      </c>
      <c r="D58" s="129">
        <f>IF(E58=0,0,E58/C58)</f>
        <v>0.6938765090996456</v>
      </c>
      <c r="E58" s="221">
        <f>E14+E15+(E19*G19)+(E20*G20)+E29+E30+(E31*G31)+(E33*G33)+(E34*G34)+(E35*G35)</f>
        <v>3465705</v>
      </c>
      <c r="H58" s="6"/>
    </row>
    <row r="59" spans="2:9" ht="13.9" x14ac:dyDescent="0.4">
      <c r="B59" s="53" t="s">
        <v>91</v>
      </c>
      <c r="C59" s="213">
        <f>C11+C12+C28</f>
        <v>1505300</v>
      </c>
      <c r="D59" s="214">
        <f>IF(E59=0,0,E59/C59)</f>
        <v>1</v>
      </c>
      <c r="E59" s="215">
        <f>E11+E12+E28</f>
        <v>1505300</v>
      </c>
      <c r="F59" s="6"/>
      <c r="G59" s="6"/>
    </row>
    <row r="60" spans="2:9" ht="13.9" x14ac:dyDescent="0.4">
      <c r="B60" s="53" t="s">
        <v>135</v>
      </c>
      <c r="C60" s="6"/>
      <c r="D60" s="454">
        <f>((Dashboard!I6*Data!C4)+D52+E50-C58-C59)</f>
        <v>-3848324.1075200005</v>
      </c>
      <c r="E60" s="45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257</v>
      </c>
    </row>
    <row r="63" spans="2:9" ht="15" customHeight="1" x14ac:dyDescent="0.4">
      <c r="B63" s="3" t="s">
        <v>260</v>
      </c>
      <c r="D63" s="377">
        <f>((C26-C11-C12-C14-C15-C16*G16-C19*G19-C20*G20)-I26)/Data!C7</f>
        <v>-1.9651250947687642</v>
      </c>
      <c r="E63" s="378"/>
    </row>
    <row r="64" spans="2:9" ht="15" customHeight="1" x14ac:dyDescent="0.4">
      <c r="B64" s="3" t="s">
        <v>259</v>
      </c>
      <c r="D64" s="452">
        <v>6.9000000000000006E-2</v>
      </c>
      <c r="E64" s="453"/>
      <c r="F64" s="266" t="s">
        <v>244</v>
      </c>
    </row>
    <row r="65" spans="2:5" ht="15" customHeight="1" x14ac:dyDescent="0.4">
      <c r="B65" s="291" t="s">
        <v>261</v>
      </c>
      <c r="D65" s="452">
        <f>D64</f>
        <v>6.9000000000000006E-2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7" sqref="C7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73046875" style="3" customWidth="1"/>
    <col min="4" max="4" width="6.796875" style="3" customWidth="1"/>
    <col min="5" max="5" width="22.73046875" style="3" customWidth="1"/>
    <col min="6" max="6" width="6.796875" style="3" customWidth="1"/>
    <col min="7" max="7" width="22.73046875" style="3" customWidth="1"/>
    <col min="8" max="8" width="6.796875" style="3" customWidth="1"/>
    <col min="9" max="9" width="22.7304687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1000HKD)</v>
      </c>
      <c r="C3" s="277">
        <f>Dashboard!E6</f>
        <v>44651</v>
      </c>
      <c r="D3" s="28" t="s">
        <v>243</v>
      </c>
      <c r="E3" s="277">
        <f>EOMONTH(EDATE(C3,12),0)</f>
        <v>45016</v>
      </c>
      <c r="F3" s="28" t="s">
        <v>243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4">
      <c r="B4" s="292" t="s">
        <v>344</v>
      </c>
      <c r="C4" s="293">
        <f>12600*2</f>
        <v>25200</v>
      </c>
      <c r="D4" s="260">
        <f>C4/$C$7</f>
        <v>0.7078651685393258</v>
      </c>
      <c r="E4" s="293">
        <f>C4</f>
        <v>25200</v>
      </c>
      <c r="F4" s="260">
        <f>E4/E$7</f>
        <v>0.7078651685393258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342</v>
      </c>
      <c r="C5" s="293">
        <f>400*2</f>
        <v>800</v>
      </c>
      <c r="D5" s="260"/>
      <c r="E5" s="293">
        <f>C5</f>
        <v>800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343</v>
      </c>
      <c r="C6" s="293">
        <f>4800*2</f>
        <v>9600</v>
      </c>
      <c r="D6" s="260">
        <f>C6/$C$7</f>
        <v>0.2696629213483146</v>
      </c>
      <c r="E6" s="293">
        <f>C6</f>
        <v>9600</v>
      </c>
      <c r="F6" s="260">
        <f>E6/E$7</f>
        <v>0.2696629213483146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5" t="s">
        <v>138</v>
      </c>
      <c r="C7" s="180">
        <f>SUM(C4:C6)</f>
        <v>35600</v>
      </c>
      <c r="D7" s="259"/>
      <c r="E7" s="337">
        <f>SUM(E4:E6)</f>
        <v>35600</v>
      </c>
      <c r="F7" s="259"/>
      <c r="G7" s="337"/>
      <c r="H7" s="259"/>
      <c r="I7" s="228"/>
      <c r="J7" s="287"/>
      <c r="K7" s="6"/>
      <c r="L7" s="74" t="s">
        <v>262</v>
      </c>
      <c r="M7" s="57"/>
    </row>
    <row r="8" spans="1:13" ht="15.75" customHeight="1" x14ac:dyDescent="0.4">
      <c r="B8" s="17" t="s">
        <v>137</v>
      </c>
      <c r="C8" s="187"/>
      <c r="D8" s="261"/>
      <c r="E8" s="18">
        <f>E7/C7-1</f>
        <v>0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4">
      <c r="B9" s="8" t="s">
        <v>139</v>
      </c>
      <c r="C9" s="181">
        <f>16600*2</f>
        <v>33200</v>
      </c>
      <c r="D9" s="262"/>
      <c r="E9" s="227">
        <f>E7*(1-E10)</f>
        <v>33200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4">
      <c r="B10" s="17" t="s">
        <v>48</v>
      </c>
      <c r="C10" s="186">
        <f>(C7-C9)/C7</f>
        <v>6.741573033707865E-2</v>
      </c>
      <c r="D10" s="186"/>
      <c r="E10" s="73">
        <f>C10</f>
        <v>6.741573033707865E-2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4">
      <c r="B11" s="5" t="s">
        <v>140</v>
      </c>
      <c r="C11" s="27">
        <f>C7-C9</f>
        <v>2400</v>
      </c>
      <c r="D11" s="27"/>
      <c r="E11" s="27">
        <f>E7-E9</f>
        <v>2400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4">
      <c r="B12" s="17" t="s">
        <v>50</v>
      </c>
      <c r="C12" s="189">
        <f>C13/C7</f>
        <v>0.800561797752809</v>
      </c>
      <c r="D12" s="189"/>
      <c r="E12" s="226">
        <f>E13/E7</f>
        <v>0.83258426966292132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4">
      <c r="B13" s="8" t="s">
        <v>141</v>
      </c>
      <c r="C13" s="183">
        <v>28500</v>
      </c>
      <c r="D13" s="263"/>
      <c r="E13" s="76">
        <f>C13*1.04</f>
        <v>29640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4">
      <c r="B14" s="17" t="s">
        <v>51</v>
      </c>
      <c r="C14" s="18">
        <f>C16/C7</f>
        <v>-0.7331460674157303</v>
      </c>
      <c r="D14" s="18"/>
      <c r="E14" s="18">
        <f>E16/E7</f>
        <v>-0.76516853932584272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4">
      <c r="B15" s="17" t="s">
        <v>142</v>
      </c>
      <c r="C15" s="188"/>
      <c r="D15" s="264"/>
      <c r="E15" s="14">
        <f>IF(ABS(C16+E16)=ABS(C16)+ABS(E16),IF(E16&lt;0,-1,1)*(E16-C16)/C16,"Turn")</f>
        <v>-4.3678160919540229E-2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4">
      <c r="B16" s="134" t="s">
        <v>239</v>
      </c>
      <c r="C16" s="319">
        <f>C11-C13</f>
        <v>-26100</v>
      </c>
      <c r="D16" s="320"/>
      <c r="E16" s="319">
        <f>E11-E13</f>
        <v>-27240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4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4">
      <c r="B18" s="324" t="s">
        <v>296</v>
      </c>
      <c r="C18" s="264">
        <f>C19/C9</f>
        <v>-0.78614457831325302</v>
      </c>
      <c r="D18" s="326"/>
      <c r="E18" s="325">
        <f>E19/E9</f>
        <v>-0.82048192771084338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4">
      <c r="B19" s="321" t="s">
        <v>80</v>
      </c>
      <c r="C19" s="322">
        <f>IF(C16&lt;=0,C16,C16*(1-C17))</f>
        <v>-26100</v>
      </c>
      <c r="D19" s="322"/>
      <c r="E19" s="323">
        <f>IF(E16="","",IF(E16&lt;=0,E16,E16*(1-E17)))</f>
        <v>-27240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4"/>
    <row r="21" spans="2:10" ht="15.75" customHeight="1" x14ac:dyDescent="0.4"/>
    <row r="22" spans="2:10" ht="15.75" customHeight="1" x14ac:dyDescent="0.4"/>
    <row r="23" spans="2:10" ht="15.75" customHeight="1" x14ac:dyDescent="0.4"/>
    <row r="24" spans="2:10" ht="15.75" customHeight="1" x14ac:dyDescent="0.4"/>
    <row r="25" spans="2:10" ht="15.75" customHeight="1" x14ac:dyDescent="0.4"/>
    <row r="26" spans="2:10" ht="15.75" customHeight="1" x14ac:dyDescent="0.4"/>
    <row r="27" spans="2:10" ht="15.75" customHeight="1" x14ac:dyDescent="0.4"/>
    <row r="28" spans="2:10" ht="15.75" customHeight="1" x14ac:dyDescent="0.4"/>
    <row r="29" spans="2:10" ht="15.75" customHeight="1" x14ac:dyDescent="0.4"/>
    <row r="30" spans="2:10" ht="15.75" customHeight="1" x14ac:dyDescent="0.4"/>
    <row r="31" spans="2:10" ht="15.75" customHeight="1" x14ac:dyDescent="0.4"/>
    <row r="32" spans="2:10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</sheetData>
  <phoneticPr fontId="32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8:H12 G14:H16 H13">
    <cfRule type="containsBlanks" dxfId="5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C19" sqref="C19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77">
        <f>Operation!C3</f>
        <v>44651</v>
      </c>
      <c r="D3" s="277">
        <f>Operation!E3</f>
        <v>45016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4">
      <c r="B4" s="5" t="s">
        <v>80</v>
      </c>
      <c r="C4" s="182">
        <f>Operation!C19</f>
        <v>-26100</v>
      </c>
      <c r="D4" s="45">
        <f>Operation!E19</f>
        <v>-27240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268</v>
      </c>
      <c r="C5" s="257"/>
      <c r="D5" s="258">
        <f>D4/C4-1</f>
        <v>4.3678160919540243E-2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0.15</v>
      </c>
      <c r="D6" s="226">
        <v>0.15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263</v>
      </c>
      <c r="C7" s="309">
        <f>C4*C6</f>
        <v>-3915</v>
      </c>
      <c r="D7" s="309">
        <f>D4*D6</f>
        <v>-4086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144</v>
      </c>
      <c r="C8" s="192">
        <f>IF(C4="","",C4-C7)</f>
        <v>-22185</v>
      </c>
      <c r="D8" s="191">
        <f>D4-D7</f>
        <v>-23154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-23154</v>
      </c>
      <c r="H8" s="82"/>
      <c r="I8" s="56"/>
      <c r="J8" s="56"/>
    </row>
    <row r="9" spans="1:10" ht="15.75" customHeight="1" x14ac:dyDescent="0.4">
      <c r="B9" s="203" t="s">
        <v>213</v>
      </c>
      <c r="C9" s="193">
        <f>C8/(Common_Shares/Data!$C$4)</f>
        <v>-3.5925321502236207E-2</v>
      </c>
      <c r="D9" s="305">
        <f>D8/(Common_Shares/Data!$C$4)</f>
        <v>-3.74944734758971E-2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-3.74944734758971E-2</v>
      </c>
      <c r="H9" s="82"/>
      <c r="I9" s="56"/>
      <c r="J9" s="56"/>
    </row>
    <row r="10" spans="1:10" ht="15.75" customHeight="1" x14ac:dyDescent="0.4">
      <c r="B10" s="234" t="s">
        <v>240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254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269</v>
      </c>
      <c r="C12" s="236">
        <v>0</v>
      </c>
      <c r="D12" s="236">
        <v>0</v>
      </c>
      <c r="E12" s="345"/>
      <c r="F12" s="345"/>
      <c r="G12" s="230">
        <f>IF(G9&lt;0,G9,G9*D27)</f>
        <v>-3.74944734758971E-2</v>
      </c>
      <c r="H12" s="82"/>
      <c r="I12" s="56"/>
      <c r="J12" s="56"/>
    </row>
    <row r="13" spans="1:10" ht="15.75" customHeight="1" x14ac:dyDescent="0.4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4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4">
      <c r="B15" s="8" t="s">
        <v>292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-3.1213764615104271E-2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4">
      <c r="B18" s="58" t="s">
        <v>233</v>
      </c>
      <c r="C18" s="84">
        <f>Asset_Model!E59</f>
        <v>1505300</v>
      </c>
      <c r="D18" s="219">
        <f>C18/(Dashboard!I5/Data!C4)</f>
        <v>2.4376103879790922</v>
      </c>
      <c r="E18" s="85" t="s">
        <v>231</v>
      </c>
      <c r="G18" s="137">
        <f>C18+C19+C20+C21</f>
        <v>4826505</v>
      </c>
    </row>
    <row r="19" spans="1:9" ht="15.75" customHeight="1" x14ac:dyDescent="0.4">
      <c r="B19" s="58" t="s">
        <v>237</v>
      </c>
      <c r="C19" s="84">
        <f>Asset_Model!E58</f>
        <v>3465705</v>
      </c>
      <c r="D19" s="219">
        <f>C19/(Dashboard!I5/Data!C4)</f>
        <v>5.6121959142171525</v>
      </c>
      <c r="E19" s="85" t="s">
        <v>337</v>
      </c>
      <c r="G19" s="197">
        <f>(G18+MIN(D4,0))*Data!C$4/Dashboard!I5</f>
        <v>7.7716988099810527</v>
      </c>
    </row>
    <row r="20" spans="1:9" ht="15.75" customHeight="1" x14ac:dyDescent="0.4">
      <c r="B20" s="58" t="s">
        <v>218</v>
      </c>
      <c r="C20" s="84">
        <f>-Asset_Model!D52</f>
        <v>-144500</v>
      </c>
      <c r="D20" s="219">
        <f>C20/(Dashboard!I5/Data!C4)</f>
        <v>-0.23399634694943122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4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2.393499242713331</v>
      </c>
      <c r="G21" s="147">
        <f>SUM(D19:D21)</f>
        <v>5.3781995672677212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 x14ac:dyDescent="0.4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(HKD)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4">
      <c r="B25" s="30" t="s">
        <v>290</v>
      </c>
      <c r="C25" s="14">
        <f>1/D25</f>
        <v>0.2</v>
      </c>
      <c r="D25" s="297">
        <v>5</v>
      </c>
      <c r="E25" s="206">
        <f>IF(G9&lt;0,G9,G9*D25/G14)</f>
        <v>-3.74944734758971E-2</v>
      </c>
      <c r="F25" s="206">
        <f>E25+$G$19</f>
        <v>7.7342043365051554</v>
      </c>
      <c r="G25" s="206">
        <f>ROUND(F25*Exchange_Rate,2)</f>
        <v>7.73</v>
      </c>
      <c r="I25" s="74"/>
    </row>
    <row r="26" spans="1:9" ht="15.75" customHeight="1" x14ac:dyDescent="0.4">
      <c r="B26" s="30" t="s">
        <v>291</v>
      </c>
      <c r="C26" s="349">
        <f>1/D26</f>
        <v>0.125</v>
      </c>
      <c r="D26" s="350">
        <v>8</v>
      </c>
      <c r="E26" s="351">
        <f>IF(G9&lt;0,G9,G9*D26/G14)</f>
        <v>-3.74944734758971E-2</v>
      </c>
      <c r="F26" s="351">
        <f>E26+$G$19</f>
        <v>7.7342043365051554</v>
      </c>
      <c r="G26" s="351">
        <f>ROUND(F26*Exchange_Rate,2)</f>
        <v>7.73</v>
      </c>
      <c r="I26" s="74" t="s">
        <v>300</v>
      </c>
    </row>
    <row r="27" spans="1:9" ht="15.75" customHeight="1" x14ac:dyDescent="0.4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-3.74944734758971E-2</v>
      </c>
      <c r="F27" s="207">
        <f>E27+$G$19</f>
        <v>7.7342043365051554</v>
      </c>
      <c r="G27" s="207">
        <f>ROUND(F27*Exchange_Rate,2)</f>
        <v>7.73</v>
      </c>
      <c r="I27" s="74" t="s">
        <v>299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336</v>
      </c>
      <c r="G29" s="369">
        <f>IF(Asset_Model!D7&lt;G19,Asset_Model!D7,G19)</f>
        <v>7.7716988099810527</v>
      </c>
      <c r="H29" s="12"/>
      <c r="I29" s="90"/>
    </row>
    <row r="30" spans="1:9" ht="15.75" customHeight="1" x14ac:dyDescent="0.4">
      <c r="A30" s="6"/>
      <c r="B30" s="71" t="s">
        <v>147</v>
      </c>
      <c r="C30" s="252">
        <f>MIN(G29,G25)+(ABS(G29-G25)*'Qualitative Analysis'!E8)</f>
        <v>7.7500154287909053</v>
      </c>
      <c r="D30" s="23" t="str">
        <f>IF(C30&lt;E30,"&lt;",IF(C30=E30,"=","&gt;"))</f>
        <v>&lt;</v>
      </c>
      <c r="E30" s="251">
        <f>MAX(G26, G19*Exchange_Rate)</f>
        <v>7.7716988099810527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4">
      <c r="B33" s="256" t="s">
        <v>226</v>
      </c>
      <c r="C33" s="253">
        <f>MIN(C30,E30)+ABS(C30-E30)*'Qualitative Analysis'!$E$64</f>
        <v>7.7599728209490069</v>
      </c>
      <c r="D33" s="119" t="str">
        <f>Dashboard!J4</f>
        <v>HKD</v>
      </c>
      <c r="E33" s="120">
        <f>(C33-G19)/C9</f>
        <v>0.32639900052991611</v>
      </c>
      <c r="F33" s="158">
        <f>C33/(Data!C28*Exchange_Rate*Data!C4/Common_Shares)</f>
        <v>0.7177664032732568</v>
      </c>
      <c r="G33" s="87"/>
      <c r="H33" s="6"/>
      <c r="I33" s="74"/>
    </row>
    <row r="34" spans="2:9" ht="15.5" customHeight="1" x14ac:dyDescent="0.4">
      <c r="B34" s="255" t="s">
        <v>225</v>
      </c>
      <c r="C34" s="254">
        <f>MAX(Asset_Model!D7,G19*Exchange_Rate,(G12/(1+G34)^G4+G19)*Exchange_Rate)</f>
        <v>7.9185902191975437</v>
      </c>
      <c r="D34" s="208" t="str">
        <f>D33</f>
        <v>HKD</v>
      </c>
      <c r="E34" s="120">
        <f>(C34-G19)/C9</f>
        <v>-4.088798737885968</v>
      </c>
      <c r="F34" s="158">
        <f>C34/(Data!C28*Exchange_Rate*Data!C4/Common_Shares)</f>
        <v>0.73243787726734877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2" priority="5">
      <formula>LEN(TRIM(E4))=0</formula>
    </cfRule>
  </conditionalFormatting>
  <conditionalFormatting sqref="E25:G27">
    <cfRule type="cellIs" dxfId="1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149</v>
      </c>
      <c r="C2" s="95"/>
      <c r="D2" s="12"/>
      <c r="E2" s="12"/>
      <c r="G2" s="72" t="s">
        <v>136</v>
      </c>
    </row>
    <row r="3" spans="1:7" ht="13.9" x14ac:dyDescent="0.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3.9" x14ac:dyDescent="0.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3.9" x14ac:dyDescent="0.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3.9" x14ac:dyDescent="0.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153</v>
      </c>
      <c r="C10" s="20"/>
      <c r="D10" s="20"/>
      <c r="E10" s="12"/>
      <c r="G10" s="294"/>
    </row>
    <row r="11" spans="1:7" ht="15" customHeight="1" x14ac:dyDescent="0.4">
      <c r="B11" s="99" t="s">
        <v>154</v>
      </c>
      <c r="C11" s="93"/>
      <c r="E11" s="6"/>
      <c r="G11" s="294"/>
    </row>
    <row r="12" spans="1:7" ht="15" customHeight="1" x14ac:dyDescent="0.4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4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4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4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4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4">
      <c r="B17" s="99" t="s">
        <v>161</v>
      </c>
      <c r="D17" s="38"/>
      <c r="E17" s="23"/>
      <c r="G17" s="294"/>
    </row>
    <row r="18" spans="2:7" ht="15" customHeight="1" x14ac:dyDescent="0.4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4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4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4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4">
      <c r="B23" s="99" t="s">
        <v>166</v>
      </c>
      <c r="D23" s="38"/>
      <c r="E23" s="23"/>
      <c r="G23" s="294"/>
    </row>
    <row r="24" spans="2:7" ht="15" customHeight="1" x14ac:dyDescent="0.4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4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4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4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4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4">
      <c r="B29" s="99" t="s">
        <v>170</v>
      </c>
      <c r="D29" s="38"/>
      <c r="E29" s="23"/>
      <c r="G29" s="294"/>
    </row>
    <row r="30" spans="2:7" ht="15" customHeight="1" x14ac:dyDescent="0.4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4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4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4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4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4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4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4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4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4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4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4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4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4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4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4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4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4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4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4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4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4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4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4">
      <c r="B54" s="53" t="s">
        <v>287</v>
      </c>
      <c r="D54" s="104">
        <f t="array" ref="D54">(1-INDEX(B68:E77,MATCH(E54,B68:B77,0),4))*4</f>
        <v>2.3129251700680271</v>
      </c>
      <c r="E54" s="31" t="s">
        <v>335</v>
      </c>
      <c r="F54" s="53"/>
      <c r="G54" s="294"/>
      <c r="H54" s="53"/>
    </row>
    <row r="55" spans="2:8" ht="15" customHeight="1" x14ac:dyDescent="0.4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4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4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4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4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4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4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4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190</v>
      </c>
      <c r="C66" s="7"/>
      <c r="D66" s="7"/>
      <c r="E66" s="55"/>
    </row>
    <row r="67" spans="2:7" ht="15" customHeight="1" x14ac:dyDescent="0.4">
      <c r="B67" s="106" t="s">
        <v>191</v>
      </c>
      <c r="C67" s="107"/>
      <c r="D67" s="107"/>
      <c r="E67" s="108"/>
    </row>
    <row r="68" spans="2:7" ht="15" customHeight="1" x14ac:dyDescent="0.4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2023-03-29T15:15:22Z</dcterms:modified>
  <cp:category/>
  <cp:contentStatus/>
</cp:coreProperties>
</file>