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13_ncr:1_{1D269225-80E2-4BA2-9D43-F52A65FD8CE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91029" iterate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8" i="1" l="1"/>
  <c r="C12" i="1"/>
  <c r="D13" i="4"/>
  <c r="D14" i="4"/>
  <c r="D15" i="4"/>
  <c r="E13" i="4"/>
  <c r="E14" i="4"/>
  <c r="E15" i="4"/>
  <c r="F25" i="4"/>
  <c r="G13" i="4"/>
  <c r="G14" i="4"/>
  <c r="E25" i="4"/>
  <c r="G25" i="4"/>
  <c r="C29" i="4"/>
  <c r="E26" i="4"/>
  <c r="G26" i="4"/>
  <c r="E29" i="4"/>
  <c r="D14" i="1"/>
  <c r="F46" i="1"/>
  <c r="F49" i="1"/>
  <c r="D49" i="1"/>
  <c r="E50" i="1"/>
  <c r="F50" i="1"/>
  <c r="C50" i="1"/>
  <c r="B50" i="1"/>
  <c r="E49" i="1"/>
  <c r="E6" i="1"/>
  <c r="C3" i="7"/>
  <c r="F45" i="1"/>
  <c r="F40" i="1"/>
  <c r="I36" i="1"/>
  <c r="E26" i="1"/>
  <c r="E7" i="3"/>
  <c r="C36" i="1"/>
  <c r="C35" i="1"/>
  <c r="B18" i="1"/>
  <c r="D11" i="4"/>
  <c r="C11" i="4"/>
  <c r="F42" i="1"/>
  <c r="E42" i="1"/>
  <c r="G17" i="7"/>
  <c r="E17" i="7"/>
  <c r="E13" i="7"/>
  <c r="G10" i="7"/>
  <c r="E10" i="7"/>
  <c r="C9" i="7"/>
  <c r="G8" i="7"/>
  <c r="E8" i="7"/>
  <c r="G7" i="7"/>
  <c r="E7" i="7"/>
  <c r="C6" i="7"/>
  <c r="G5" i="7"/>
  <c r="E5" i="7"/>
  <c r="G4" i="7"/>
  <c r="E4" i="7"/>
  <c r="E6" i="7"/>
  <c r="C11" i="7"/>
  <c r="E9" i="7"/>
  <c r="E11" i="7"/>
  <c r="G6" i="7"/>
  <c r="C16" i="7"/>
  <c r="G9" i="7"/>
  <c r="G11" i="7"/>
  <c r="G16" i="7"/>
  <c r="E16" i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G33" i="4"/>
  <c r="E16" i="7"/>
  <c r="E15" i="7"/>
  <c r="E14" i="7"/>
  <c r="D10" i="7"/>
  <c r="D6" i="7"/>
  <c r="D9" i="7"/>
  <c r="D20" i="2"/>
  <c r="E20" i="2"/>
  <c r="F20" i="2"/>
  <c r="G20" i="2"/>
  <c r="H20" i="2"/>
  <c r="I20" i="2"/>
  <c r="J20" i="2"/>
  <c r="K20" i="2"/>
  <c r="L20" i="2"/>
  <c r="M20" i="2"/>
  <c r="C20" i="2"/>
  <c r="F6" i="7"/>
  <c r="F10" i="7"/>
  <c r="F9" i="7"/>
  <c r="G16" i="3"/>
  <c r="H9" i="7"/>
  <c r="H6" i="7"/>
  <c r="H10" i="7"/>
  <c r="G12" i="7"/>
  <c r="I13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15" i="7"/>
  <c r="I20" i="7"/>
  <c r="I18" i="7"/>
  <c r="I4" i="3"/>
  <c r="D4" i="3"/>
  <c r="D6" i="1"/>
  <c r="C28" i="4"/>
  <c r="C3" i="4"/>
  <c r="E3" i="7"/>
  <c r="C15" i="4"/>
  <c r="B3" i="4"/>
  <c r="C17" i="4"/>
  <c r="C13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/>
  <c r="C15" i="7"/>
  <c r="C20" i="7"/>
  <c r="C23" i="7"/>
  <c r="C14" i="7"/>
  <c r="D3" i="4"/>
  <c r="G3" i="7"/>
  <c r="E3" i="4"/>
  <c r="C58" i="3"/>
  <c r="B3" i="7"/>
  <c r="E12" i="7"/>
  <c r="C4" i="4"/>
  <c r="C7" i="4"/>
  <c r="C8" i="4"/>
  <c r="C9" i="4"/>
  <c r="C10" i="4"/>
  <c r="C22" i="7"/>
  <c r="I32" i="3"/>
  <c r="C18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I46" i="3"/>
  <c r="E19" i="3"/>
  <c r="I15" i="3"/>
  <c r="E31" i="3"/>
  <c r="E16" i="3"/>
  <c r="E20" i="3"/>
  <c r="C24" i="3"/>
  <c r="I8" i="3"/>
  <c r="E20" i="7"/>
  <c r="E21" i="7"/>
  <c r="E23" i="7"/>
  <c r="E22" i="7"/>
  <c r="G13" i="7"/>
  <c r="G15" i="7"/>
  <c r="D52" i="3"/>
  <c r="C20" i="4"/>
  <c r="D20" i="4"/>
  <c r="I53" i="3"/>
  <c r="C7" i="1"/>
  <c r="C44" i="3"/>
  <c r="C25" i="3"/>
  <c r="I7" i="3"/>
  <c r="E19" i="7"/>
  <c r="G20" i="7"/>
  <c r="G18" i="7"/>
  <c r="D4" i="4"/>
  <c r="E18" i="7"/>
  <c r="C45" i="3"/>
  <c r="E12" i="3"/>
  <c r="G19" i="7"/>
  <c r="I19" i="7"/>
  <c r="I3" i="7"/>
  <c r="F3" i="4"/>
  <c r="G4" i="4"/>
  <c r="B24" i="4"/>
  <c r="G2" i="4"/>
  <c r="G21" i="7"/>
  <c r="I21" i="7"/>
  <c r="I23" i="7"/>
  <c r="D7" i="4"/>
  <c r="D8" i="4"/>
  <c r="D9" i="4"/>
  <c r="D10" i="4"/>
  <c r="D5" i="4"/>
  <c r="D53" i="5"/>
  <c r="G23" i="7"/>
  <c r="E4" i="4"/>
  <c r="F4" i="4"/>
  <c r="I22" i="7"/>
  <c r="E35" i="3"/>
  <c r="G22" i="7"/>
  <c r="F8" i="4"/>
  <c r="F9" i="4"/>
  <c r="F5" i="4"/>
  <c r="E7" i="4"/>
  <c r="E8" i="4"/>
  <c r="E9" i="4"/>
  <c r="E5" i="4"/>
  <c r="C14" i="2"/>
  <c r="D43" i="2"/>
  <c r="E43" i="2"/>
  <c r="G27" i="2"/>
  <c r="H27" i="2"/>
  <c r="I27" i="2"/>
  <c r="J27" i="2"/>
  <c r="K27" i="2"/>
  <c r="L27" i="2"/>
  <c r="M27" i="2"/>
  <c r="E11" i="3"/>
  <c r="E59" i="3"/>
  <c r="D59" i="3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/>
  <c r="D18" i="4"/>
  <c r="F21" i="4"/>
  <c r="C32" i="2"/>
  <c r="D32" i="2"/>
  <c r="E32" i="2"/>
  <c r="F35" i="2"/>
  <c r="F32" i="2"/>
  <c r="C13" i="2"/>
  <c r="C12" i="2"/>
  <c r="C16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/>
  <c r="G31" i="1"/>
  <c r="G27" i="1"/>
  <c r="E31" i="1"/>
  <c r="E27" i="1"/>
  <c r="C31" i="1"/>
  <c r="G30" i="1"/>
  <c r="E30" i="1"/>
  <c r="C30" i="1"/>
  <c r="I28" i="1"/>
  <c r="I6" i="1"/>
  <c r="C2" i="1"/>
  <c r="D63" i="3"/>
  <c r="I6" i="3"/>
  <c r="D36" i="5"/>
  <c r="C33" i="2"/>
  <c r="E33" i="2"/>
  <c r="D33" i="2"/>
  <c r="D34" i="2"/>
  <c r="D6" i="5"/>
  <c r="D55" i="5"/>
  <c r="E32" i="1"/>
  <c r="E33" i="1"/>
  <c r="E58" i="3"/>
  <c r="D58" i="3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D42" i="5"/>
  <c r="E42" i="5"/>
  <c r="E24" i="3"/>
  <c r="I24" i="3"/>
  <c r="C46" i="3"/>
  <c r="E3" i="3"/>
  <c r="D54" i="5" a="1"/>
  <c r="D54" i="5"/>
  <c r="D49" i="5"/>
  <c r="E30" i="5"/>
  <c r="F16" i="2"/>
  <c r="F45" i="2"/>
  <c r="K15" i="2"/>
  <c r="L16" i="2"/>
  <c r="L45" i="2"/>
  <c r="L15" i="2"/>
  <c r="M16" i="2"/>
  <c r="M45" i="2"/>
  <c r="C17" i="2"/>
  <c r="I9" i="1"/>
  <c r="F15" i="2"/>
  <c r="G15" i="2"/>
  <c r="J15" i="2"/>
  <c r="C27" i="1"/>
  <c r="I27" i="1"/>
  <c r="I31" i="1"/>
  <c r="I32" i="1"/>
  <c r="I33" i="1"/>
  <c r="C46" i="2"/>
  <c r="E42" i="3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I14" i="2"/>
  <c r="F4" i="2"/>
  <c r="K13" i="2"/>
  <c r="K12" i="2"/>
  <c r="E26" i="3"/>
  <c r="C34" i="2"/>
  <c r="C35" i="2"/>
  <c r="E55" i="5"/>
  <c r="C25" i="4"/>
  <c r="E44" i="3"/>
  <c r="D24" i="3"/>
  <c r="I16" i="2"/>
  <c r="I45" i="2"/>
  <c r="I44" i="2"/>
  <c r="E16" i="2"/>
  <c r="E44" i="2"/>
  <c r="D16" i="2"/>
  <c r="D44" i="2"/>
  <c r="C19" i="4"/>
  <c r="D19" i="4"/>
  <c r="E25" i="3"/>
  <c r="I25" i="3"/>
  <c r="J25" i="3"/>
  <c r="E49" i="5"/>
  <c r="J9" i="1"/>
  <c r="H15" i="2"/>
  <c r="I15" i="2"/>
  <c r="D15" i="2"/>
  <c r="E15" i="2"/>
  <c r="C15" i="2"/>
  <c r="F12" i="2"/>
  <c r="H17" i="2"/>
  <c r="F17" i="2"/>
  <c r="E13" i="2"/>
  <c r="E12" i="2"/>
  <c r="E46" i="3"/>
  <c r="D26" i="3"/>
  <c r="E36" i="5"/>
  <c r="K17" i="2"/>
  <c r="D13" i="2"/>
  <c r="D12" i="2"/>
  <c r="J17" i="2"/>
  <c r="G17" i="2"/>
  <c r="I13" i="2"/>
  <c r="I12" i="2"/>
  <c r="L17" i="2"/>
  <c r="D44" i="3"/>
  <c r="I44" i="3"/>
  <c r="C26" i="4"/>
  <c r="E45" i="3"/>
  <c r="D45" i="3"/>
  <c r="D25" i="3"/>
  <c r="E45" i="2"/>
  <c r="E35" i="2"/>
  <c r="D45" i="2"/>
  <c r="D35" i="2"/>
  <c r="D62" i="5"/>
  <c r="E62" i="5"/>
  <c r="J24" i="3"/>
  <c r="E17" i="2"/>
  <c r="I17" i="2"/>
  <c r="D17" i="2"/>
  <c r="D46" i="3"/>
  <c r="I45" i="3"/>
  <c r="J45" i="3"/>
  <c r="I10" i="1"/>
  <c r="E50" i="3"/>
  <c r="J44" i="3"/>
  <c r="E6" i="5"/>
  <c r="D50" i="3"/>
  <c r="D6" i="3"/>
  <c r="D7" i="3"/>
  <c r="J26" i="3"/>
  <c r="D18" i="5"/>
  <c r="E18" i="5"/>
  <c r="C21" i="4"/>
  <c r="D60" i="3"/>
  <c r="D21" i="4"/>
  <c r="G21" i="4"/>
  <c r="G18" i="4"/>
  <c r="G19" i="4"/>
  <c r="D49" i="3"/>
  <c r="H16" i="1"/>
  <c r="E6" i="3"/>
  <c r="E20" i="4"/>
  <c r="J16" i="1"/>
  <c r="J10" i="1"/>
  <c r="F16" i="1"/>
  <c r="F13" i="4"/>
  <c r="F14" i="4"/>
  <c r="J18" i="1"/>
  <c r="F18" i="1"/>
  <c r="F15" i="4"/>
  <c r="G8" i="4"/>
  <c r="G9" i="4"/>
  <c r="G12" i="4"/>
  <c r="C33" i="4"/>
  <c r="G15" i="4"/>
  <c r="F33" i="4"/>
  <c r="E33" i="4"/>
  <c r="C11" i="1"/>
  <c r="D12" i="5"/>
  <c r="E64" i="5"/>
  <c r="D5" i="5"/>
  <c r="D64" i="5"/>
  <c r="E7" i="5"/>
  <c r="D7" i="5"/>
  <c r="F41" i="1"/>
  <c r="D8" i="5"/>
  <c r="E8" i="5"/>
  <c r="F39" i="1"/>
  <c r="E5" i="5"/>
  <c r="F14" i="1"/>
  <c r="C32" i="4"/>
  <c r="H14" i="1"/>
  <c r="J25" i="1"/>
  <c r="D29" i="4"/>
  <c r="F32" i="4"/>
  <c r="D16" i="1"/>
  <c r="B17" i="1"/>
  <c r="J17" i="1"/>
  <c r="D18" i="1"/>
  <c r="E32" i="4"/>
  <c r="D17" i="1"/>
  <c r="F17" i="1"/>
</calcChain>
</file>

<file path=xl/sharedStrings.xml><?xml version="1.0" encoding="utf-8"?>
<sst xmlns="http://schemas.openxmlformats.org/spreadsheetml/2006/main" count="413" uniqueCount="348">
  <si>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</si>
  <si>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</si>
  <si>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</si>
  <si>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</si>
  <si>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</si>
  <si>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</si>
  <si>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</si>
  <si>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</si>
  <si>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</si>
  <si>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</si>
  <si>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</si>
  <si>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</si>
  <si>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</si>
  <si>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</si>
  <si>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</si>
  <si>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</si>
  <si>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</si>
  <si>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</si>
  <si>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</si>
  <si>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</si>
  <si>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</si>
  <si>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</si>
  <si>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</si>
  <si>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</si>
  <si>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</si>
  <si>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</si>
  <si>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</si>
  <si>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</si>
  <si>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</si>
  <si>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</si>
  <si>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</si>
  <si>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</si>
  <si>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</si>
  <si>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</si>
  <si>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</si>
  <si>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</si>
  <si>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</si>
  <si>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</si>
  <si>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</si>
  <si>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</si>
  <si>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</si>
  <si>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</si>
  <si>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</si>
  <si>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</si>
  <si>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</si>
  <si>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</si>
  <si>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</si>
  <si>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</si>
  <si>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</si>
  <si>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</si>
  <si>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</si>
  <si>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</si>
  <si>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</si>
  <si>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</si>
  <si>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</si>
  <si>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</si>
  <si>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</si>
  <si>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</si>
  <si>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</si>
  <si>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</si>
  <si>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</si>
  <si>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</si>
  <si>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</si>
  <si>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</si>
  <si>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</si>
  <si>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</si>
  <si>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</si>
  <si>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</si>
  <si>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</si>
  <si>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</si>
  <si>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</si>
  <si>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</si>
  <si>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</si>
  <si>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</si>
  <si>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</si>
  <si>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</si>
  <si>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</si>
  <si>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</si>
  <si>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</si>
  <si>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</si>
  <si>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</si>
  <si>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</si>
  <si>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</si>
  <si>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</si>
  <si>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</si>
  <si>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</si>
  <si>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</si>
  <si>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</si>
  <si>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</si>
  <si>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</si>
  <si>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</si>
  <si>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</si>
  <si>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</si>
  <si>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</si>
  <si>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</si>
  <si>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</si>
  <si>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</si>
  <si>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</si>
  <si>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</si>
  <si>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</si>
  <si>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</si>
  <si>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</si>
  <si>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</si>
  <si>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</si>
  <si>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</si>
  <si>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</si>
  <si>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</si>
  <si>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</si>
  <si>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</si>
  <si>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</si>
  <si>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</si>
  <si>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</si>
  <si>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</si>
  <si>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</si>
  <si>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</si>
  <si>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</si>
  <si>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</si>
  <si>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</si>
  <si>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</si>
  <si>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</si>
  <si>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</si>
  <si>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</si>
  <si>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</si>
  <si>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</si>
  <si>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</si>
  <si>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</si>
  <si>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</si>
  <si>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</si>
  <si>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</si>
  <si>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</si>
  <si>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</si>
  <si>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</si>
  <si>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</si>
  <si>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</si>
  <si>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</si>
  <si>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</si>
  <si>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</si>
  <si>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</si>
  <si>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</si>
  <si>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</si>
  <si>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</si>
  <si>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</si>
  <si>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</si>
  <si>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</si>
  <si>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</si>
  <si>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</si>
  <si>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</si>
  <si>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</si>
  <si>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</si>
  <si>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</si>
  <si>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</si>
  <si>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</si>
  <si>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</si>
  <si>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</si>
  <si>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</si>
  <si>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</si>
  <si>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</si>
  <si>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</si>
  <si>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</si>
  <si>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</si>
  <si>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</si>
  <si>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</si>
  <si>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</si>
  <si>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</si>
  <si>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</si>
  <si>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</si>
  <si>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</si>
  <si>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</si>
  <si>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</si>
  <si>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</si>
  <si>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</si>
  <si>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</si>
  <si>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</si>
  <si>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</si>
  <si>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</si>
  <si>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</si>
  <si>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</si>
  <si>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</si>
  <si>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</si>
  <si>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</si>
  <si>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</si>
  <si>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</si>
  <si>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</si>
  <si>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</si>
  <si>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</si>
  <si>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</si>
  <si>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</si>
  <si>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</si>
  <si>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</si>
  <si>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</si>
  <si>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</si>
  <si>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</si>
  <si>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</si>
  <si>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</si>
  <si>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</si>
  <si>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</si>
  <si>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</si>
  <si>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</si>
  <si>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</si>
  <si>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</si>
  <si>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</si>
  <si>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</si>
  <si>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</si>
  <si>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</si>
  <si>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</si>
  <si>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</si>
  <si>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</si>
  <si>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</si>
  <si>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</si>
  <si>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</si>
  <si>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</si>
  <si>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</si>
  <si>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</si>
  <si>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</si>
  <si>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</si>
  <si>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</si>
  <si>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</si>
  <si>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</si>
  <si>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</si>
  <si>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</si>
  <si>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</si>
  <si>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</si>
  <si>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</si>
  <si>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</si>
  <si>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</si>
  <si>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</si>
  <si>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</si>
  <si>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</si>
  <si>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</si>
  <si>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</si>
  <si>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</si>
  <si>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</si>
  <si>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</si>
  <si>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</si>
  <si>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</si>
  <si>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</si>
  <si>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</si>
  <si>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</si>
  <si>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</si>
  <si>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</si>
  <si>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</si>
  <si>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</si>
  <si>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</si>
  <si>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</si>
  <si>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</si>
  <si>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</si>
  <si>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</si>
  <si>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</si>
  <si>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</si>
  <si>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</si>
  <si>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</si>
  <si>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</si>
  <si>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</si>
  <si>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</si>
  <si>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</si>
  <si>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</si>
  <si>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</si>
  <si>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</si>
  <si>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</si>
  <si>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</si>
  <si>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</si>
  <si>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</si>
  <si>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</si>
  <si>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</si>
  <si>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</si>
  <si>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</si>
  <si>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</si>
  <si>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</si>
  <si>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</si>
  <si>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</si>
  <si>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</si>
  <si>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</si>
  <si>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</si>
  <si>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</si>
  <si>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</si>
  <si>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</si>
  <si>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</si>
  <si>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</si>
  <si>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</si>
  <si>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</si>
  <si>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</si>
  <si>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</si>
  <si>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</si>
  <si>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</si>
  <si>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</si>
  <si>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</si>
  <si>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</si>
  <si>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</si>
  <si>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</si>
  <si>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</si>
  <si>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</si>
  <si>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</si>
  <si>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</si>
  <si>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</si>
  <si>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</si>
  <si>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</si>
  <si>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</si>
  <si>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</si>
  <si>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</si>
  <si>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</si>
  <si>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</si>
  <si>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</si>
  <si>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</si>
  <si>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</si>
  <si>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</si>
  <si>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</si>
  <si>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</si>
  <si>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</si>
  <si>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</si>
  <si>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0683.HK</t>
  </si>
  <si>
    <t>KERRY PPT</t>
  </si>
  <si>
    <t>低估值的中国房地产开发商</t>
  </si>
  <si>
    <t xml:space="preserve">Asset Plays </t>
  </si>
  <si>
    <t>1. Balance sheet is strong despite a cash liquidity need
2. Market price is low compared to the realizable assets</t>
  </si>
  <si>
    <t>1. 物业销售曾是最大收入来源，现在在低谷
2. Property value is likely to exceed inflation in the long run especially after a debt crisis and the future monetary easing</t>
  </si>
  <si>
    <t>1. There is a lack of Cash in the balance sheet
2. 2/3 of the business is in Mainland China, with high volatility in RE</t>
  </si>
  <si>
    <t>1. The room for profitable reinvestment is small
2. Organic growth rate will be low due to uncertainty</t>
  </si>
  <si>
    <t>內地</t>
  </si>
  <si>
    <t>香港</t>
  </si>
  <si>
    <t>1. 物業租務及其他</t>
  </si>
  <si>
    <t>2. 物業銷售</t>
  </si>
  <si>
    <t>3. 內地酒店營運</t>
  </si>
  <si>
    <t>High uncertainty at the moment in China mainland real estate</t>
  </si>
  <si>
    <t>Too many different assets</t>
  </si>
  <si>
    <t>Real estate recovery is uncertain</t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</si>
  <si>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</si>
  <si>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</si>
  <si>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</si>
  <si>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</si>
  <si>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</si>
  <si>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</si>
  <si>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</si>
  <si>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</si>
  <si>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</si>
  <si>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</si>
  <si>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</si>
  <si>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</si>
  <si>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</si>
  <si>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</si>
  <si>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</si>
  <si>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</si>
  <si>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</si>
  <si>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</si>
  <si>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</si>
  <si>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t>capped at</t>
  </si>
  <si>
    <t>4. Is the upside very attractive?</t>
  </si>
  <si>
    <t>5. The probability of a recession affecting the company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</si>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</sst>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176" formatCode="_(* #,##0.00_);_(* \(#,##0.00\);_(* &quot;-&quot;??_);_(@_)"/>
    <numFmt numFmtId="177" formatCode="&quot;$&quot;#,##0_);[Red]\(&quot;$&quot;#,##0\)"/>
    <numFmt numFmtId="178" formatCode="&quot;$&quot;#,##0.00_);[Red]\(&quot;$&quot;#,##0.00\)"/>
    <numFmt numFmtId="179" formatCode="yyyy\-mm\-dd"/>
    <numFmt numFmtId="180" formatCode="#,##0&quot;mm&quot;"/>
    <numFmt numFmtId="181" formatCode="#,##0.00&quot;x&quot;"/>
    <numFmt numFmtId="182" formatCode="0.00\x"/>
    <numFmt numFmtId="183" formatCode="&quot;Base Allocation &quot;0%"/>
    <numFmt numFmtId="184" formatCode="&quot;Increased Allocation &quot;0%"/>
    <numFmt numFmtId="185" formatCode="&quot;Last Allocation &quot;0%"/>
    <numFmt numFmtId="186" formatCode="[$$]#,##0&quot;m&quot;"/>
    <numFmt numFmtId="187" formatCode="&quot;Past &quot;0&quot; yrs Avg. NI&quot;"/>
    <numFmt numFmtId="188" formatCode="0.00&quot;x&quot;"/>
    <numFmt numFmtId="189" formatCode="&quot;Past &quot;0&quot; yrs Avg. NOPAT&quot;"/>
    <numFmt numFmtId="190" formatCode="&quot;Total &quot;0%"/>
    <numFmt numFmtId="191" formatCode="#,##0;[Red]\(#,##0\);\-"/>
    <numFmt numFmtId="192" formatCode="&quot;Current Price = &quot;0.00"/>
    <numFmt numFmtId="193" formatCode="yyyy\-mm\-dd;@"/>
    <numFmt numFmtId="194" formatCode="_(* #,##0_);_(* \(#,##0\);_(* &quot;-&quot;??_);_(@_)"/>
    <numFmt numFmtId="195" formatCode="&quot;Discount rate = &quot;0.00%"/>
    <numFmt numFmtId="196" formatCode="#,##0.00;[Red]#,##0.00"/>
    <numFmt numFmtId="197" formatCode="&quot;in&quot;\ 0\ &quot;Months&quot;"/>
    <numFmt numFmtId="198" formatCode="&quot;Breakeven Price = &quot;0.00"/>
    <numFmt numFmtId="199" formatCode="&quot;Next Buy Price = &quot;0.00"/>
    <numFmt numFmtId="200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176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177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89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81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82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82" fontId="1" fillId="0" borderId="41" xfId="0" applyNumberFormat="1" applyFont="1" applyBorder="1" applyAlignment="1">
      <alignment horizontal="center"/>
    </xf>
    <xf numFmtId="181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82" fontId="1" fillId="0" borderId="44" xfId="0" applyNumberFormat="1" applyFont="1" applyBorder="1" applyAlignment="1">
      <alignment horizontal="center"/>
    </xf>
    <xf numFmtId="192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81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93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94" fontId="5" fillId="0" borderId="0" xfId="1" applyNumberFormat="1" applyFont="1"/>
    <xf numFmtId="17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82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87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81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96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91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97" fontId="2" fillId="8" borderId="47" xfId="0" applyNumberFormat="1" applyFont="1" applyFill="1" applyBorder="1" applyAlignment="1">
      <alignment horizontal="center"/>
    </xf>
    <xf numFmtId="179" fontId="7" fillId="0" borderId="89" xfId="0" applyNumberFormat="1" applyFont="1" applyBorder="1" applyAlignment="1">
      <alignment horizontal="center"/>
    </xf>
    <xf numFmtId="193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93" fontId="15" fillId="7" borderId="2" xfId="0" applyNumberFormat="1" applyFont="1" applyFill="1" applyBorder="1" applyAlignment="1">
      <alignment horizontal="center"/>
    </xf>
    <xf numFmtId="193" fontId="18" fillId="4" borderId="5" xfId="0" applyNumberFormat="1" applyFont="1" applyFill="1" applyBorder="1" applyAlignment="1">
      <alignment horizontal="center"/>
    </xf>
    <xf numFmtId="193" fontId="18" fillId="4" borderId="23" xfId="0" applyNumberFormat="1" applyFont="1" applyFill="1" applyBorder="1" applyAlignment="1">
      <alignment horizontal="center"/>
    </xf>
    <xf numFmtId="195" fontId="7" fillId="16" borderId="59" xfId="0" applyNumberFormat="1" applyFont="1" applyFill="1" applyBorder="1" applyAlignment="1">
      <alignment horizontal="center"/>
    </xf>
    <xf numFmtId="191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98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93" fontId="15" fillId="7" borderId="94" xfId="0" applyNumberFormat="1" applyFont="1" applyFill="1" applyBorder="1" applyAlignment="1">
      <alignment horizontal="center"/>
    </xf>
    <xf numFmtId="188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29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88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left"/>
    </xf>
    <xf numFmtId="193" fontId="18" fillId="0" borderId="9" xfId="0" applyNumberFormat="1" applyFont="1" applyBorder="1" applyAlignment="1">
      <alignment horizontal="center"/>
    </xf>
    <xf numFmtId="199" fontId="27" fillId="0" borderId="11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200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84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83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90" fontId="1" fillId="0" borderId="13" xfId="0" applyNumberFormat="1" applyFont="1" applyBorder="1" applyAlignment="1">
      <alignment horizontal="center"/>
    </xf>
    <xf numFmtId="185" fontId="1" fillId="0" borderId="21" xfId="0" applyNumberFormat="1" applyFont="1" applyBorder="1" applyAlignment="1">
      <alignment horizontal="center"/>
    </xf>
    <xf numFmtId="185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79" fontId="2" fillId="9" borderId="16" xfId="0" applyNumberFormat="1" applyFont="1" applyFill="1" applyBorder="1" applyAlignment="1">
      <alignment horizontal="center"/>
    </xf>
    <xf numFmtId="193" fontId="2" fillId="9" borderId="17" xfId="0" applyNumberFormat="1" applyFont="1" applyFill="1" applyBorder="1" applyAlignment="1">
      <alignment horizontal="center"/>
    </xf>
    <xf numFmtId="193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80" fontId="5" fillId="0" borderId="47" xfId="0" applyNumberFormat="1" applyFont="1" applyBorder="1" applyAlignment="1">
      <alignment horizontal="center"/>
    </xf>
    <xf numFmtId="180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7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178" fontId="4" fillId="9" borderId="13" xfId="0" applyNumberFormat="1" applyFont="1" applyFill="1" applyBorder="1" applyAlignment="1">
      <alignment horizontal="center"/>
    </xf>
    <xf numFmtId="186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" fillId="12" borderId="9" xfId="0" applyFont="1" applyFill="1" applyBorder="1"/>
    <xf numFmtId="0" fontId="7" fillId="12" borderId="9" xfId="0" applyFont="1" applyFill="1" applyBorder="1"/>
    <xf numFmtId="177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178" fontId="3" fillId="0" borderId="13" xfId="0" applyNumberFormat="1" applyFont="1" applyBorder="1" applyAlignment="1">
      <alignment horizontal="center"/>
    </xf>
    <xf numFmtId="3" fontId="7" fillId="8" borderId="13" xfId="0" applyNumberFormat="1" applyFont="1" applyFill="1" applyBorder="1"/>
    <xf numFmtId="178" fontId="4" fillId="9" borderId="21" xfId="0" applyNumberFormat="1" applyFont="1" applyFill="1" applyBorder="1" applyAlignment="1">
      <alignment horizontal="center"/>
    </xf>
    <xf numFmtId="17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2" xfId="0" applyFont="1" applyFill="1" applyBorder="1"/>
    <xf numFmtId="0" fontId="7" fillId="12" borderId="2" xfId="0" applyFont="1" applyFill="1" applyBorder="1"/>
    <xf numFmtId="186" fontId="1" fillId="0" borderId="27" xfId="0" applyNumberFormat="1" applyFont="1" applyBorder="1" applyAlignment="1">
      <alignment horizontal="center"/>
    </xf>
    <xf numFmtId="186" fontId="1" fillId="0" borderId="28" xfId="0" applyNumberFormat="1" applyFont="1" applyBorder="1" applyAlignment="1">
      <alignment horizontal="center"/>
    </xf>
    <xf numFmtId="177" fontId="3" fillId="0" borderId="45" xfId="0" applyNumberFormat="1" applyFont="1" applyBorder="1" applyAlignment="1">
      <alignment horizontal="center"/>
    </xf>
    <xf numFmtId="177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27" fillId="0" borderId="0" xfId="0" applyFont="1"/>
  </cellXfs>
  <cellStyles count="3">
    <cellStyle name="常规" xfId="0" builtinId="0"/>
    <cellStyle name="超链接" xfId="2" builtinId="8"/>
    <cellStyle name="千位分隔" xfId="1" builtinId="3"/>
  </cellStyles>
  <dxfs count="21"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1" zoomScaleNormal="100" workbookViewId="0">
      <selection activeCell="E28" sqref="E28:F28"/>
    </sheetView>
  </sheetViews>
  <sheetFormatPr defaultColWidth="12.46484375" defaultRowHeight="15" customHeight="1" x14ac:dyDescent="0.4"/>
  <cols>
    <col min="1" max="1" width="2.46484375" style="3" customWidth="1"/>
    <col min="2" max="2" width="28.33203125" style="3" customWidth="1"/>
    <col min="3" max="10" width="14.796875" style="3" customWidth="1"/>
    <col min="11" max="11" width="14.46484375" style="3" bestFit="1" customWidth="1"/>
    <col min="12" max="16384" width="12.46484375" style="3"/>
  </cols>
  <sheetData>
    <row r="1" spans="1:12" ht="15" customHeight="1" x14ac:dyDescent="0.4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4">
      <c r="A2" s="10"/>
      <c r="B2" s="11" t="s">
        <v>0</v>
      </c>
      <c r="C2" s="305" t="str">
        <f>C3&amp;" : "&amp;C4</f>
        <v>0683.HK : KERRY PPT</v>
      </c>
      <c r="D2" s="12"/>
      <c r="E2" s="12"/>
      <c r="F2" s="12"/>
      <c r="G2" s="12"/>
      <c r="H2" s="12"/>
      <c r="I2" s="12"/>
      <c r="J2" s="12"/>
    </row>
    <row r="3" spans="1:12" ht="15.75" customHeight="1" x14ac:dyDescent="0.4">
      <c r="B3" s="16" t="s">
        <v>1</v>
      </c>
      <c r="C3" s="382" t="s">
        <v>309</v>
      </c>
      <c r="D3" s="383"/>
      <c r="E3" s="15"/>
      <c r="G3" s="7" t="s">
        <v>2</v>
      </c>
      <c r="I3" s="392" t="s">
        <v>3</v>
      </c>
      <c r="J3" s="393"/>
    </row>
    <row r="4" spans="1:12" ht="15.75" customHeight="1" x14ac:dyDescent="0.4">
      <c r="B4" s="5" t="s">
        <v>4</v>
      </c>
      <c r="C4" s="384" t="s">
        <v>310</v>
      </c>
      <c r="D4" s="385"/>
      <c r="E4" s="6"/>
      <c r="G4" s="5" t="s">
        <v>5</v>
      </c>
      <c r="I4" s="32">
        <v>19.899999999999999</v>
      </c>
      <c r="J4" s="33" t="s">
        <v>6</v>
      </c>
      <c r="K4" s="152"/>
    </row>
    <row r="5" spans="1:12" ht="15.75" customHeight="1" x14ac:dyDescent="0.4">
      <c r="B5" s="5" t="s">
        <v>7</v>
      </c>
      <c r="C5" s="386">
        <v>44956</v>
      </c>
      <c r="D5" s="385"/>
      <c r="E5" s="122" t="str">
        <f ca="1">IF(C5+30&gt;=TODAY(),"Patience Premium","")</f>
        <v/>
      </c>
      <c r="G5" s="5" t="s">
        <v>8</v>
      </c>
      <c r="I5" s="394">
        <v>1451309952</v>
      </c>
      <c r="J5" s="395"/>
      <c r="K5" s="151"/>
      <c r="L5" s="85"/>
    </row>
    <row r="6" spans="1:12" ht="15.75" customHeight="1" x14ac:dyDescent="0.4">
      <c r="B6" s="12" t="s">
        <v>256</v>
      </c>
      <c r="C6" s="269">
        <v>8</v>
      </c>
      <c r="D6" s="270">
        <f>EOMONTH(EDATE(Asset_Model!D9,C6),0)</f>
        <v>44985</v>
      </c>
      <c r="E6" s="348">
        <f>IF(Asset_Model!E9="FY",Asset_Model!D9,Data!C3)</f>
        <v>44561</v>
      </c>
      <c r="G6" s="134" t="s">
        <v>9</v>
      </c>
      <c r="H6" s="133"/>
      <c r="I6" s="396">
        <f>I4*I5/1000000</f>
        <v>28881.068044799998</v>
      </c>
      <c r="J6" s="397"/>
      <c r="K6" s="151"/>
    </row>
    <row r="7" spans="1:12" ht="15.75" customHeight="1" x14ac:dyDescent="0.4">
      <c r="B7" s="139" t="s">
        <v>10</v>
      </c>
      <c r="C7" s="145">
        <f>(Data!C39)/I4</f>
        <v>0.1840731787257148</v>
      </c>
      <c r="D7" s="145">
        <f>(Data!C40)/I4</f>
        <v>1.3987017355915703E-3</v>
      </c>
      <c r="E7" s="153"/>
      <c r="F7" s="6"/>
    </row>
    <row r="8" spans="1:12" ht="15.75" customHeight="1" x14ac:dyDescent="0.4">
      <c r="C8" s="96"/>
      <c r="E8" s="6"/>
      <c r="G8" s="21" t="s">
        <v>11</v>
      </c>
      <c r="H8" s="132"/>
      <c r="I8" s="6"/>
      <c r="J8" s="6"/>
    </row>
    <row r="9" spans="1:12" ht="15.75" customHeight="1" x14ac:dyDescent="0.4">
      <c r="B9" s="21" t="s">
        <v>12</v>
      </c>
      <c r="C9" s="298"/>
      <c r="D9" s="296"/>
      <c r="E9" s="5"/>
      <c r="G9" s="5" t="s">
        <v>13</v>
      </c>
      <c r="I9" s="121">
        <f>IF(Data!F3&lt;=0,"NNI",I4/((Data!F3*I12)/(I5/Data!C4)))</f>
        <v>2.7882831988496632</v>
      </c>
      <c r="J9" s="48">
        <f>IF(I9="NNI","NNI",1/I9)</f>
        <v>0.35864362716547621</v>
      </c>
    </row>
    <row r="10" spans="1:12" ht="15.75" customHeight="1" x14ac:dyDescent="0.4">
      <c r="B10" s="3" t="s">
        <v>274</v>
      </c>
      <c r="C10" s="297" t="s">
        <v>275</v>
      </c>
      <c r="D10" s="297">
        <v>2.8999999999999998E-2</v>
      </c>
      <c r="E10" s="5"/>
      <c r="G10" s="5" t="s">
        <v>14</v>
      </c>
      <c r="I10" s="138">
        <f>I4/(Data!C28*I12*Data!C4/Common_Shares)</f>
        <v>0.21827817781888093</v>
      </c>
      <c r="J10" s="130">
        <f>IF(Asset_Model!D60/'FCFF Model'!C4&lt;0,"Negative EV",Asset_Model!D60/'FCFF Model'!C4)</f>
        <v>0.44737894387613408</v>
      </c>
    </row>
    <row r="11" spans="1:12" ht="15.75" customHeight="1" thickBot="1" x14ac:dyDescent="0.45">
      <c r="B11" s="310" t="s">
        <v>278</v>
      </c>
      <c r="C11" s="406">
        <f ca="1">C12-D10</f>
        <v>5.1000000000000004E-2</v>
      </c>
      <c r="D11" s="407"/>
      <c r="E11" s="13"/>
      <c r="G11" s="5" t="s">
        <v>15</v>
      </c>
      <c r="H11" s="6"/>
      <c r="I11" s="404" t="s">
        <v>6</v>
      </c>
      <c r="J11" s="405"/>
    </row>
    <row r="12" spans="1:12" ht="15.75" customHeight="1" thickTop="1" x14ac:dyDescent="0.4">
      <c r="B12" s="311" t="s">
        <v>150</v>
      </c>
      <c r="C12" s="360">
        <f ca="1">IF(C10="CN",8%,6%)*IF($C$5+30&gt;=TODAY(),1.2,1)</f>
        <v>0.08</v>
      </c>
      <c r="D12" s="361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4"/>
    <row r="14" spans="1:12" ht="15.75" customHeight="1" x14ac:dyDescent="0.4">
      <c r="A14" s="10"/>
      <c r="B14" s="20" t="s">
        <v>17</v>
      </c>
      <c r="C14" s="127" t="s">
        <v>217</v>
      </c>
      <c r="D14" s="184">
        <f ca="1">MIN('FCFF Model'!C29,'FCFF Model'!E29)</f>
        <v>15.177942172348047</v>
      </c>
      <c r="E14" s="127" t="s">
        <v>234</v>
      </c>
      <c r="F14" s="184">
        <f ca="1">MAX('FCFF Model'!C29,'FCFF Model'!E29)</f>
        <v>20.816330621780622</v>
      </c>
      <c r="G14" s="185" t="s">
        <v>24</v>
      </c>
      <c r="H14" s="193">
        <f ca="1">IF('FCFF Model'!C32&lt;0, "Error", 'FCFF Model'!C32)</f>
        <v>18.627667404704535</v>
      </c>
      <c r="I14" s="133"/>
      <c r="J14" s="133"/>
    </row>
    <row r="15" spans="1:12" ht="15.75" customHeight="1" x14ac:dyDescent="0.4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4">
      <c r="B16" s="131">
        <f>I4</f>
        <v>19.899999999999999</v>
      </c>
      <c r="C16" s="370">
        <v>0.1</v>
      </c>
      <c r="D16" s="159">
        <f ca="1">H14/B16-1-C16</f>
        <v>-0.16393631132138012</v>
      </c>
      <c r="E16" s="365">
        <f>'FCFF Model'!D11*Exchange_Rate</f>
        <v>1.35</v>
      </c>
      <c r="F16" s="161">
        <f>E16/B16</f>
        <v>6.7839195979899514E-2</v>
      </c>
      <c r="G16" s="373" t="s">
        <v>25</v>
      </c>
      <c r="H16" s="398">
        <f>('FCFF Model'!G19)*Exchange_Rate</f>
        <v>5.9489088537580672</v>
      </c>
      <c r="I16" s="373" t="s">
        <v>26</v>
      </c>
      <c r="J16" s="206">
        <f>B16-$H$16</f>
        <v>13.951091146241932</v>
      </c>
    </row>
    <row r="17" spans="1:10" ht="15.75" customHeight="1" x14ac:dyDescent="0.4">
      <c r="B17" s="289">
        <f ca="1">H14/(1+C16)</f>
        <v>16.934243095185941</v>
      </c>
      <c r="C17" s="371"/>
      <c r="D17" s="288">
        <f ca="1">H14/B17-1-C16</f>
        <v>0</v>
      </c>
      <c r="E17" s="366"/>
      <c r="F17" s="162">
        <f ca="1">E16/B17</f>
        <v>7.9720126397841623E-2</v>
      </c>
      <c r="G17" s="374"/>
      <c r="H17" s="399"/>
      <c r="I17" s="374"/>
      <c r="J17" s="205">
        <f ca="1">B17-$H$16</f>
        <v>10.985334241427875</v>
      </c>
    </row>
    <row r="18" spans="1:10" ht="15.75" customHeight="1" x14ac:dyDescent="0.4">
      <c r="B18" s="349">
        <f>C35</f>
        <v>16.5</v>
      </c>
      <c r="C18" s="372"/>
      <c r="D18" s="160">
        <f ca="1">H14/B18-1-C16</f>
        <v>2.8949539679062747E-2</v>
      </c>
      <c r="E18" s="367"/>
      <c r="F18" s="163">
        <f>E16/B18</f>
        <v>8.1818181818181818E-2</v>
      </c>
      <c r="G18" s="375"/>
      <c r="H18" s="400"/>
      <c r="I18" s="375"/>
      <c r="J18" s="207">
        <f>B18-$H$16</f>
        <v>10.551091146241934</v>
      </c>
    </row>
    <row r="19" spans="1:10" ht="15.75" customHeight="1" x14ac:dyDescent="0.4">
      <c r="E19" s="6"/>
      <c r="H19" s="6"/>
    </row>
    <row r="20" spans="1:10" ht="15.75" customHeight="1" x14ac:dyDescent="0.4">
      <c r="A20" s="4"/>
      <c r="B20" s="20" t="s">
        <v>27</v>
      </c>
      <c r="C20" s="5" t="s">
        <v>254</v>
      </c>
      <c r="D20" s="290" t="s">
        <v>312</v>
      </c>
      <c r="E20" s="266" t="s">
        <v>264</v>
      </c>
      <c r="G20" s="6"/>
      <c r="H20" s="6"/>
      <c r="I20" s="6"/>
      <c r="J20" s="6"/>
    </row>
    <row r="21" spans="1:10" ht="15.75" customHeight="1" x14ac:dyDescent="0.4">
      <c r="A21" s="6"/>
      <c r="B21" s="24" t="s">
        <v>28</v>
      </c>
      <c r="C21" s="389" t="s">
        <v>311</v>
      </c>
      <c r="D21" s="390"/>
      <c r="E21" s="390"/>
      <c r="F21" s="390"/>
      <c r="G21" s="390"/>
      <c r="H21" s="390"/>
      <c r="I21" s="390"/>
      <c r="J21" s="391"/>
    </row>
    <row r="22" spans="1:10" ht="52.5" customHeight="1" x14ac:dyDescent="0.4">
      <c r="A22" s="6"/>
      <c r="B22" s="24" t="s">
        <v>29</v>
      </c>
      <c r="C22" s="402" t="s">
        <v>313</v>
      </c>
      <c r="D22" s="403"/>
      <c r="E22" s="403"/>
      <c r="F22" s="403"/>
      <c r="G22" s="402" t="s">
        <v>315</v>
      </c>
      <c r="H22" s="402"/>
      <c r="I22" s="403"/>
      <c r="J22" s="403"/>
    </row>
    <row r="23" spans="1:10" ht="52.5" customHeight="1" x14ac:dyDescent="0.4">
      <c r="A23" s="6"/>
      <c r="B23" s="25" t="s">
        <v>30</v>
      </c>
      <c r="C23" s="368" t="s">
        <v>314</v>
      </c>
      <c r="D23" s="369"/>
      <c r="E23" s="369"/>
      <c r="F23" s="369"/>
      <c r="G23" s="368" t="s">
        <v>316</v>
      </c>
      <c r="H23" s="368"/>
      <c r="I23" s="369"/>
      <c r="J23" s="369"/>
    </row>
    <row r="24" spans="1:10" ht="15.75" customHeight="1" x14ac:dyDescent="0.4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4">
      <c r="A25" s="4"/>
      <c r="B25" s="20" t="s">
        <v>31</v>
      </c>
      <c r="C25" s="22" t="s">
        <v>32</v>
      </c>
      <c r="D25" s="34">
        <v>600000</v>
      </c>
      <c r="E25" s="12"/>
      <c r="F25" s="8" t="s">
        <v>328</v>
      </c>
      <c r="G25" s="12"/>
      <c r="H25" s="350">
        <v>0.15</v>
      </c>
      <c r="I25" s="30" t="s">
        <v>329</v>
      </c>
      <c r="J25" s="351">
        <f ca="1">H14/(H25+C16+1)</f>
        <v>14.902133923763628</v>
      </c>
    </row>
    <row r="26" spans="1:10" ht="15.75" customHeight="1" x14ac:dyDescent="0.4">
      <c r="B26" s="23" t="s">
        <v>33</v>
      </c>
      <c r="C26" s="387"/>
      <c r="D26" s="388"/>
      <c r="E26" s="379" t="str">
        <f>IF(C26="","","Action_Planning")</f>
        <v/>
      </c>
      <c r="F26" s="380"/>
      <c r="G26" s="380"/>
      <c r="H26" s="381"/>
      <c r="I26" s="401" t="s">
        <v>34</v>
      </c>
      <c r="J26" s="401"/>
    </row>
    <row r="27" spans="1:10" ht="15.75" customHeight="1" x14ac:dyDescent="0.4">
      <c r="B27" s="23" t="s">
        <v>35</v>
      </c>
      <c r="C27" s="364">
        <f>C31/D25</f>
        <v>8.2500000000000004E-2</v>
      </c>
      <c r="D27" s="363"/>
      <c r="E27" s="362">
        <f>E31/D25</f>
        <v>0</v>
      </c>
      <c r="F27" s="363"/>
      <c r="G27" s="377">
        <f>G31/D25</f>
        <v>0</v>
      </c>
      <c r="H27" s="378"/>
      <c r="I27" s="376">
        <f>C27+E27+G27</f>
        <v>8.2500000000000004E-2</v>
      </c>
      <c r="J27" s="376"/>
    </row>
    <row r="28" spans="1:10" ht="15.75" customHeight="1" x14ac:dyDescent="0.4">
      <c r="B28" s="23" t="s">
        <v>36</v>
      </c>
      <c r="C28" s="412">
        <v>3000</v>
      </c>
      <c r="D28" s="403"/>
      <c r="E28" s="412"/>
      <c r="F28" s="403"/>
      <c r="G28" s="394"/>
      <c r="H28" s="395"/>
      <c r="I28" s="411">
        <f>C28+E28+G28</f>
        <v>3000</v>
      </c>
      <c r="J28" s="411"/>
    </row>
    <row r="29" spans="1:10" ht="15.75" customHeight="1" x14ac:dyDescent="0.4">
      <c r="B29" s="23" t="s">
        <v>37</v>
      </c>
      <c r="C29" s="413">
        <v>16.5</v>
      </c>
      <c r="D29" s="403"/>
      <c r="E29" s="413"/>
      <c r="F29" s="403"/>
      <c r="G29" s="423"/>
      <c r="H29" s="424"/>
      <c r="I29" s="408"/>
      <c r="J29" s="408"/>
    </row>
    <row r="30" spans="1:10" ht="15.75" customHeight="1" x14ac:dyDescent="0.4">
      <c r="B30" s="23" t="s">
        <v>38</v>
      </c>
      <c r="C30" s="414">
        <f>C29*$I$5/1000000</f>
        <v>23946.614207999999</v>
      </c>
      <c r="D30" s="415"/>
      <c r="E30" s="414">
        <f>E29*$I$5/1000000</f>
        <v>0</v>
      </c>
      <c r="F30" s="415"/>
      <c r="G30" s="431">
        <f>G29*$I$5/1000000</f>
        <v>0</v>
      </c>
      <c r="H30" s="432"/>
      <c r="I30" s="409"/>
      <c r="J30" s="409"/>
    </row>
    <row r="31" spans="1:10" ht="15.75" customHeight="1" x14ac:dyDescent="0.4">
      <c r="B31" s="2" t="s">
        <v>39</v>
      </c>
      <c r="C31" s="418">
        <f>C28*C29</f>
        <v>49500</v>
      </c>
      <c r="D31" s="419"/>
      <c r="E31" s="410">
        <f>E28*E29</f>
        <v>0</v>
      </c>
      <c r="F31" s="420"/>
      <c r="G31" s="433">
        <f>G28*G29</f>
        <v>0</v>
      </c>
      <c r="H31" s="434"/>
      <c r="I31" s="410">
        <f>C31+E31+G31</f>
        <v>49500</v>
      </c>
      <c r="J31" s="410"/>
    </row>
    <row r="32" spans="1:10" ht="15.75" customHeight="1" x14ac:dyDescent="0.4">
      <c r="B32" s="1" t="s">
        <v>40</v>
      </c>
      <c r="C32" s="416"/>
      <c r="D32" s="417"/>
      <c r="E32" s="421">
        <f>IF(C31=0,"-",(C31+E31)/(C28+E28))</f>
        <v>16.5</v>
      </c>
      <c r="F32" s="363"/>
      <c r="G32" s="117"/>
      <c r="H32" s="117"/>
      <c r="I32" s="421">
        <f>IF(I31=0,"",I31/I28)</f>
        <v>16.5</v>
      </c>
      <c r="J32" s="421"/>
    </row>
    <row r="33" spans="2:10" ht="15.75" customHeight="1" x14ac:dyDescent="0.4">
      <c r="B33" s="1" t="s">
        <v>41</v>
      </c>
      <c r="C33" s="429"/>
      <c r="D33" s="430"/>
      <c r="E33" s="414">
        <f>IF(E32="-","-",E32*$I$5/1000000)</f>
        <v>23946.614207999999</v>
      </c>
      <c r="F33" s="415"/>
      <c r="G33" s="118"/>
      <c r="H33" s="118"/>
      <c r="I33" s="414">
        <f>IF(I32="","",I32*$I$5/1000000)</f>
        <v>23946.614207999999</v>
      </c>
      <c r="J33" s="414"/>
    </row>
    <row r="34" spans="2:10" ht="15.75" customHeight="1" x14ac:dyDescent="0.4"/>
    <row r="35" spans="2:10" ht="15.75" customHeight="1" x14ac:dyDescent="0.4">
      <c r="B35" s="146" t="s">
        <v>325</v>
      </c>
      <c r="C35" s="425">
        <f>C29</f>
        <v>16.5</v>
      </c>
      <c r="D35" s="426"/>
      <c r="G35" s="427" t="s">
        <v>326</v>
      </c>
      <c r="H35" s="428"/>
      <c r="I35" s="425">
        <v>19</v>
      </c>
      <c r="J35" s="426"/>
    </row>
    <row r="36" spans="2:10" ht="15.75" customHeight="1" x14ac:dyDescent="0.4">
      <c r="B36" s="146" t="s">
        <v>327</v>
      </c>
      <c r="C36" s="412">
        <f>C28</f>
        <v>3000</v>
      </c>
      <c r="D36" s="422"/>
      <c r="G36" s="435" t="s">
        <v>333</v>
      </c>
      <c r="H36" s="435"/>
      <c r="I36" s="436">
        <f>IF(C26="",0,I35/C29-1)</f>
        <v>0</v>
      </c>
      <c r="J36" s="437"/>
    </row>
    <row r="37" spans="2:10" ht="15.75" customHeight="1" x14ac:dyDescent="0.4"/>
    <row r="38" spans="2:10" ht="15.75" customHeight="1" x14ac:dyDescent="0.4">
      <c r="B38" s="21" t="s">
        <v>334</v>
      </c>
      <c r="G38" s="343" t="s">
        <v>141</v>
      </c>
      <c r="H38" s="133"/>
      <c r="I38" s="133"/>
      <c r="J38" s="133"/>
    </row>
    <row r="39" spans="2:10" ht="15.75" customHeight="1" x14ac:dyDescent="0.4">
      <c r="B39" s="3" t="s">
        <v>335</v>
      </c>
      <c r="F39" s="214">
        <f>'Qualitative Analysis'!E8</f>
        <v>0.51</v>
      </c>
      <c r="G39" s="352"/>
      <c r="H39" s="116"/>
      <c r="I39" s="116"/>
      <c r="J39" s="116"/>
    </row>
    <row r="40" spans="2:10" ht="15.75" customHeight="1" x14ac:dyDescent="0.4">
      <c r="B40" s="3" t="s">
        <v>336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0" ht="15.75" customHeight="1" x14ac:dyDescent="0.4">
      <c r="B41" s="3" t="s">
        <v>337</v>
      </c>
      <c r="E41" s="353"/>
      <c r="F41" s="354">
        <f>'Qualitative Analysis'!E64</f>
        <v>0.61182823129251696</v>
      </c>
      <c r="G41" s="352" t="s">
        <v>338</v>
      </c>
      <c r="H41" s="116"/>
      <c r="I41" s="116"/>
      <c r="J41" s="116"/>
    </row>
    <row r="42" spans="2:10" ht="15.75" customHeight="1" x14ac:dyDescent="0.4">
      <c r="B42" s="3" t="s">
        <v>345</v>
      </c>
      <c r="E42" s="353">
        <f>IF(F42="Strongly disagree",0,IF(F42="disagree",1,IF(F42="So-so",2,IF(F42="agree",3,4))))/4</f>
        <v>0.5</v>
      </c>
      <c r="F42" s="102" t="str">
        <f>IF(F45&lt;D10,"Strongly Disagree",IF(F45&lt;10%,"Disagree",IF(F45&gt;=30%,"Strongly Agree",IF(F45&gt;=20%,"Agree","So-so"))))</f>
        <v>So-so</v>
      </c>
      <c r="G42" s="74" t="s">
        <v>339</v>
      </c>
      <c r="H42" s="74"/>
      <c r="I42" s="74"/>
      <c r="J42" s="74"/>
    </row>
    <row r="43" spans="2:10" ht="15.75" customHeight="1" x14ac:dyDescent="0.4">
      <c r="B43" s="3" t="s">
        <v>346</v>
      </c>
      <c r="F43" s="355">
        <v>0.6</v>
      </c>
      <c r="G43" s="116"/>
      <c r="H43" s="116"/>
      <c r="I43" s="116"/>
      <c r="J43" s="116"/>
    </row>
    <row r="44" spans="2:10" ht="15.75" customHeight="1" x14ac:dyDescent="0.4"/>
    <row r="45" spans="2:10" ht="15.75" customHeight="1" x14ac:dyDescent="0.4">
      <c r="B45" s="3" t="s">
        <v>340</v>
      </c>
      <c r="F45" s="354">
        <f>I35/C29-1</f>
        <v>0.1515151515151516</v>
      </c>
    </row>
    <row r="46" spans="2:10" ht="15.75" customHeight="1" x14ac:dyDescent="0.4">
      <c r="B46" s="3" t="s">
        <v>341</v>
      </c>
      <c r="F46" s="354">
        <f ca="1">D14/C29-1</f>
        <v>-8.0124716827391085E-2</v>
      </c>
    </row>
    <row r="47" spans="2:10" ht="15.75" customHeight="1" x14ac:dyDescent="0.4"/>
    <row r="48" spans="2:10" ht="15.75" customHeight="1" x14ac:dyDescent="0.4">
      <c r="B48" s="3" t="s">
        <v>342</v>
      </c>
      <c r="F48" s="214">
        <f>IF(F45&lt;=0,0,AVERAGE(F39:F41,1-F43,E42))</f>
        <v>0.56436564625850338</v>
      </c>
      <c r="G48" s="74"/>
    </row>
    <row r="49" spans="2:8" ht="15.75" customHeight="1" x14ac:dyDescent="0.4">
      <c r="B49" s="3" t="s">
        <v>343</v>
      </c>
      <c r="D49" s="453">
        <f>IF(F42="Strongly Agree",2,IF(F42="Agree",3,4))</f>
        <v>4</v>
      </c>
      <c r="E49" s="356">
        <f ca="1">F45/ABS(F46)</f>
        <v>1.8909914133182346</v>
      </c>
      <c r="F49" s="357">
        <f ca="1">IF(F46&gt;=0,100,F45/ABS(F46))</f>
        <v>1.8909914133182346</v>
      </c>
      <c r="G49" s="74"/>
    </row>
    <row r="50" spans="2:8" ht="15.75" customHeight="1" x14ac:dyDescent="0.4">
      <c r="B50" s="454" t="str">
        <f>IF(D49=2,"⇒ 1/2 Kelly %",IF(D49=3, "⇒ 1/3 Kelly %", "⇒ 1/4 Kelly %"))</f>
        <v>⇒ 1/4 Kelly %</v>
      </c>
      <c r="C50" s="85" t="str">
        <f>" [W – (1 – W)/R] /"&amp;D49</f>
        <v xml:space="preserve"> [W – (1 – W)/R] /4</v>
      </c>
      <c r="E50" s="107">
        <f ca="1">MAX(F48-ABS((1-F48)/F49),0)/D49</f>
        <v>8.3498030828821346E-2</v>
      </c>
      <c r="F50" s="358">
        <f ca="1">MIN(E50,H50)</f>
        <v>8.3498030828821346E-2</v>
      </c>
      <c r="G50" s="359" t="s">
        <v>344</v>
      </c>
      <c r="H50" s="78">
        <v>0.4</v>
      </c>
    </row>
    <row r="51" spans="2:8" ht="15.75" customHeight="1" x14ac:dyDescent="0.4"/>
    <row r="52" spans="2:8" ht="15.75" customHeight="1" x14ac:dyDescent="0.4"/>
    <row r="53" spans="2:8" ht="15.75" customHeight="1" x14ac:dyDescent="0.4"/>
    <row r="54" spans="2:8" ht="15.75" customHeight="1" x14ac:dyDescent="0.4"/>
    <row r="55" spans="2:8" ht="15.75" customHeight="1" x14ac:dyDescent="0.4"/>
    <row r="56" spans="2:8" ht="15.75" customHeight="1" x14ac:dyDescent="0.4"/>
    <row r="57" spans="2:8" ht="15.75" customHeight="1" x14ac:dyDescent="0.4"/>
    <row r="58" spans="2:8" ht="15.75" customHeight="1" x14ac:dyDescent="0.4"/>
    <row r="59" spans="2:8" ht="15.75" customHeight="1" x14ac:dyDescent="0.4"/>
    <row r="60" spans="2:8" ht="15.75" customHeight="1" x14ac:dyDescent="0.4"/>
    <row r="61" spans="2:8" ht="15.75" customHeight="1" x14ac:dyDescent="0.4"/>
    <row r="62" spans="2:8" ht="15.75" customHeight="1" x14ac:dyDescent="0.4"/>
    <row r="63" spans="2:8" ht="15.75" customHeight="1" x14ac:dyDescent="0.4"/>
    <row r="64" spans="2:8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</sheetData>
  <mergeCells count="54"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G36:H36"/>
    <mergeCell ref="I36:J36"/>
    <mergeCell ref="C28:D28"/>
    <mergeCell ref="E29:F29"/>
    <mergeCell ref="E30:F30"/>
    <mergeCell ref="E28:F28"/>
    <mergeCell ref="C32:D32"/>
    <mergeCell ref="C31:D31"/>
    <mergeCell ref="E31:F31"/>
    <mergeCell ref="E32:F32"/>
    <mergeCell ref="G28:H28"/>
    <mergeCell ref="I29:J29"/>
    <mergeCell ref="I30:J30"/>
    <mergeCell ref="I31:J31"/>
    <mergeCell ref="I28:J28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</mergeCells>
  <phoneticPr fontId="30" type="noConversion"/>
  <conditionalFormatting sqref="C35:D36">
    <cfRule type="containsBlanks" priority="7">
      <formula>LEN(TRIM(C35))=0</formula>
    </cfRule>
  </conditionalFormatting>
  <conditionalFormatting sqref="C26:E26">
    <cfRule type="containsBlanks" priority="5">
      <formula>LEN(TRIM(C26))=0</formula>
    </cfRule>
  </conditionalFormatting>
  <conditionalFormatting sqref="C28:G29 I26 I28:I29">
    <cfRule type="containsBlanks" priority="20">
      <formula>LEN(TRIM(C26))=0</formula>
    </cfRule>
  </conditionalFormatting>
  <conditionalFormatting sqref="D16 D18">
    <cfRule type="cellIs" dxfId="20" priority="16" operator="lessThan">
      <formula>0</formula>
    </cfRule>
  </conditionalFormatting>
  <conditionalFormatting sqref="E26:H26">
    <cfRule type="containsBlanks" dxfId="19" priority="4">
      <formula>LEN(TRIM(E26))=0</formula>
    </cfRule>
  </conditionalFormatting>
  <conditionalFormatting sqref="H14">
    <cfRule type="cellIs" dxfId="17" priority="8" operator="greaterThan">
      <formula>$B$16</formula>
    </cfRule>
  </conditionalFormatting>
  <conditionalFormatting sqref="H16">
    <cfRule type="cellIs" dxfId="16" priority="11" operator="greaterThan">
      <formula>$B$16</formula>
    </cfRule>
  </conditionalFormatting>
  <conditionalFormatting sqref="I16">
    <cfRule type="cellIs" dxfId="15" priority="26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F49">
    <cfRule type="cellIs" dxfId="0" priority="1" operator="lessThan">
      <formula>1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5F6B8245-3B4E-49E9-8AA3-051FA4D80382}">
      <formula1>"Strongly agree,agree,So-so,disagree,Strongly disagree"</formula1>
    </dataValidation>
    <dataValidation type="list" allowBlank="1" showInputMessage="1" showErrorMessage="1" sqref="B50" xr:uid="{73254E66-EFB8-4CE8-9D71-53FB5EC85633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35" sqref="D35"/>
    </sheetView>
  </sheetViews>
  <sheetFormatPr defaultColWidth="12.46484375" defaultRowHeight="15" customHeight="1" x14ac:dyDescent="0.4"/>
  <cols>
    <col min="1" max="1" width="1.46484375" style="3" customWidth="1"/>
    <col min="2" max="2" width="26.46484375" style="3" customWidth="1"/>
    <col min="3" max="13" width="24.6640625" style="3" customWidth="1"/>
    <col min="14" max="16384" width="12.46484375" style="3"/>
  </cols>
  <sheetData>
    <row r="1" spans="1:14" ht="8.25" customHeight="1" x14ac:dyDescent="0.4">
      <c r="A1" s="36"/>
      <c r="B1" s="37"/>
      <c r="C1" s="38"/>
      <c r="D1" s="38"/>
      <c r="E1" s="38"/>
      <c r="F1" s="38"/>
    </row>
    <row r="2" spans="1:14" ht="15.75" customHeight="1" x14ac:dyDescent="0.4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4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10358011</v>
      </c>
      <c r="G3" s="6"/>
      <c r="H3" s="5"/>
      <c r="I3" s="6"/>
      <c r="J3" s="174"/>
      <c r="K3" s="6"/>
      <c r="L3" s="6"/>
      <c r="M3" s="6"/>
    </row>
    <row r="4" spans="1:14" ht="15.75" customHeight="1" x14ac:dyDescent="0.4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6739664</v>
      </c>
      <c r="G4" s="6"/>
      <c r="I4" s="6"/>
      <c r="J4" s="87"/>
      <c r="K4" s="6"/>
    </row>
    <row r="5" spans="1:14" ht="15.75" customHeight="1" x14ac:dyDescent="0.4">
      <c r="A5" s="9"/>
      <c r="C5" s="6"/>
      <c r="F5" s="6"/>
      <c r="J5" s="6"/>
    </row>
    <row r="6" spans="1:14" ht="15.75" customHeight="1" x14ac:dyDescent="0.4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4">
      <c r="A7" s="9"/>
      <c r="B7" s="43" t="s">
        <v>45</v>
      </c>
      <c r="C7" s="35">
        <v>15326764</v>
      </c>
      <c r="D7" s="35">
        <v>14526102</v>
      </c>
      <c r="E7" s="35">
        <v>18025422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4">
      <c r="A8" s="9"/>
      <c r="B8" s="44" t="s">
        <v>46</v>
      </c>
      <c r="C8" s="14">
        <f t="shared" ref="C8:L8" si="1">IF(D7="","",C7/D7-1)</f>
        <v>5.511884743753015E-2</v>
      </c>
      <c r="D8" s="14">
        <f t="shared" si="1"/>
        <v>-0.19413248688435703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4">
      <c r="A9" s="9"/>
      <c r="B9" s="44" t="s">
        <v>47</v>
      </c>
      <c r="C9" s="35">
        <v>6583757</v>
      </c>
      <c r="D9" s="35">
        <v>6139239</v>
      </c>
      <c r="E9" s="35">
        <v>9041440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4">
      <c r="A10" s="9"/>
      <c r="B10" s="44" t="s">
        <v>48</v>
      </c>
      <c r="C10" s="14">
        <f t="shared" ref="C10:M10" si="2">IF(C7="","",(C7-C9)/C7)</f>
        <v>0.57044050524950995</v>
      </c>
      <c r="D10" s="14">
        <f t="shared" si="2"/>
        <v>0.57736500817631597</v>
      </c>
      <c r="E10" s="14">
        <f t="shared" si="2"/>
        <v>0.49840619542776865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4">
      <c r="A11" s="9"/>
      <c r="B11" s="44" t="s">
        <v>49</v>
      </c>
      <c r="C11" s="35">
        <v>2003343</v>
      </c>
      <c r="D11" s="35">
        <v>1613699</v>
      </c>
      <c r="E11" s="35">
        <v>1602120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4">
      <c r="A12" s="9"/>
      <c r="B12" s="44" t="s">
        <v>50</v>
      </c>
      <c r="C12" s="14">
        <f t="shared" ref="C12:M12" si="3">IF(C7="","",C10-C13)</f>
        <v>0.13070880454608685</v>
      </c>
      <c r="D12" s="14">
        <f t="shared" si="3"/>
        <v>0.11108960958693531</v>
      </c>
      <c r="E12" s="14">
        <f t="shared" si="3"/>
        <v>8.8881136874354505E-2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4">
      <c r="A13" s="9"/>
      <c r="B13" s="44" t="s">
        <v>51</v>
      </c>
      <c r="C13" s="14">
        <f t="shared" ref="C13:M13" si="4">IF(C14="","",C14/C7)</f>
        <v>0.4397317007034231</v>
      </c>
      <c r="D13" s="14">
        <f t="shared" si="4"/>
        <v>0.46627539858938066</v>
      </c>
      <c r="E13" s="14">
        <f t="shared" si="4"/>
        <v>0.40952505855341415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4">
      <c r="A14" s="9"/>
      <c r="B14" s="44" t="s">
        <v>52</v>
      </c>
      <c r="C14" s="27">
        <f t="shared" ref="C14:M14" si="5">IF(C7="","",C7-C9-C11)</f>
        <v>6739664</v>
      </c>
      <c r="D14" s="27">
        <f t="shared" si="5"/>
        <v>6773164</v>
      </c>
      <c r="E14" s="27">
        <f t="shared" si="5"/>
        <v>7381862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4">
      <c r="A15" s="9"/>
      <c r="B15" s="44" t="s">
        <v>53</v>
      </c>
      <c r="C15" s="14">
        <f>IF(D14="","",IF(ABS(C14+D14)=ABS(C14)+ABS(D14),IF(C14&lt;0,-1,1)*(C14-D14)/D14,"Turn"))</f>
        <v>-4.9459897914770701E-3</v>
      </c>
      <c r="D15" s="14">
        <f t="shared" ref="D15:M15" si="6">IF(E14="","",IF(ABS(D14+E14)=ABS(D14)+ABS(E14),IF(D14&lt;0,-1,1)*(D14-E14)/E14,"Turn"))</f>
        <v>-8.2458599198955498E-2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4">
      <c r="A16" s="9"/>
      <c r="B16" s="44" t="s">
        <v>54</v>
      </c>
      <c r="C16" s="143">
        <f>IF(C14="","",C14*(1-Operation!$D$21))</f>
        <v>6739664</v>
      </c>
      <c r="D16" s="143">
        <f>IF(D14="","",D14*(1-Operation!$D$21))</f>
        <v>6773164</v>
      </c>
      <c r="E16" s="143">
        <f>IF(E14="","",E14*(1-Operation!$D$21))</f>
        <v>7381862</v>
      </c>
      <c r="F16" s="143" t="str">
        <f>IF(F14="","",F14*(1-Operation!$D$21))</f>
        <v/>
      </c>
      <c r="G16" s="143" t="str">
        <f>IF(G14="","",G14*(1-Operation!$D$21))</f>
        <v/>
      </c>
      <c r="H16" s="143" t="str">
        <f>IF(H14="","",H14*(1-Operation!$D$21))</f>
        <v/>
      </c>
      <c r="I16" s="143" t="str">
        <f>IF(I14="","",I14*(1-Operation!$D$21))</f>
        <v/>
      </c>
      <c r="J16" s="143" t="str">
        <f>IF(J14="","",J14*(1-Operation!$D$21))</f>
        <v/>
      </c>
      <c r="K16" s="143" t="str">
        <f>IF(K14="","",K14*(1-Operation!$D$21))</f>
        <v/>
      </c>
      <c r="L16" s="143" t="str">
        <f>IF(L14="","",L14*(1-Operation!$D$21))</f>
        <v/>
      </c>
      <c r="M16" s="243" t="str">
        <f>IF(M14="","",M14*(1-Operation!$D$21))</f>
        <v/>
      </c>
      <c r="N16" s="6"/>
    </row>
    <row r="17" spans="1:14" ht="15.75" customHeight="1" x14ac:dyDescent="0.4">
      <c r="A17" s="9"/>
      <c r="B17" s="142" t="s">
        <v>55</v>
      </c>
      <c r="C17" s="129">
        <f t="shared" ref="C17:M17" si="7">IF(C7="","",C16/C7)</f>
        <v>0.4397317007034231</v>
      </c>
      <c r="D17" s="129">
        <f t="shared" si="7"/>
        <v>0.46627539858938066</v>
      </c>
      <c r="E17" s="129">
        <f t="shared" si="7"/>
        <v>0.40952505855341415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4">
      <c r="A18" s="9"/>
      <c r="B18" s="44" t="s">
        <v>257</v>
      </c>
      <c r="C18" s="144">
        <v>562656</v>
      </c>
      <c r="D18" s="144">
        <v>781715</v>
      </c>
      <c r="E18" s="144">
        <v>812565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4">
      <c r="A19" s="9"/>
      <c r="B19" s="44" t="s">
        <v>56</v>
      </c>
      <c r="C19" s="35">
        <v>10358011</v>
      </c>
      <c r="D19" s="35">
        <v>5403203</v>
      </c>
      <c r="E19" s="35">
        <v>6897450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4">
      <c r="A20" s="9"/>
      <c r="B20" s="44" t="s">
        <v>272</v>
      </c>
      <c r="C20" s="14">
        <f>IF(D19="","",IF(ABS(C19+D19)=ABS(C19)+ABS(D19),IF(C19&lt;0,-1,1)*(C19-D19)/D19,"Turn"))</f>
        <v>0.91701311240758487</v>
      </c>
      <c r="D20" s="14">
        <f t="shared" ref="D20:M20" si="8">IF(E19="","",IF(ABS(D19+E19)=ABS(D19)+ABS(E19),IF(D19&lt;0,-1,1)*(D19-E19)/E19,"Turn"))</f>
        <v>-0.21663759795286663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4">
      <c r="A21" s="9"/>
      <c r="B21" s="44" t="s">
        <v>57</v>
      </c>
      <c r="C21" s="176">
        <v>52019578</v>
      </c>
      <c r="D21" s="35">
        <v>46824778</v>
      </c>
      <c r="E21" s="35">
        <v>30542596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4">
      <c r="A22" s="9"/>
      <c r="B22" s="44" t="s">
        <v>58</v>
      </c>
      <c r="C22" s="176">
        <v>22442764</v>
      </c>
      <c r="D22" s="35">
        <v>20617000</v>
      </c>
      <c r="E22" s="35">
        <v>19835482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4">
      <c r="A23" s="9"/>
      <c r="B23" s="44" t="s">
        <v>59</v>
      </c>
      <c r="C23" s="176">
        <v>5316310</v>
      </c>
      <c r="D23" s="35">
        <v>6964787</v>
      </c>
      <c r="E23" s="35">
        <v>8544578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4">
      <c r="A24" s="9"/>
      <c r="B24" s="141" t="s">
        <v>60</v>
      </c>
      <c r="C24" s="272">
        <v>48012</v>
      </c>
      <c r="D24" s="140">
        <v>52555</v>
      </c>
      <c r="E24" s="140">
        <v>50461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4">
      <c r="A25" s="9"/>
      <c r="B25" s="44" t="s">
        <v>61</v>
      </c>
      <c r="C25" s="176">
        <v>32210595</v>
      </c>
      <c r="D25" s="35">
        <v>37670707</v>
      </c>
      <c r="E25" s="35">
        <v>31147279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4">
      <c r="A26" s="9"/>
      <c r="B26" s="141" t="s">
        <v>62</v>
      </c>
      <c r="C26" s="175">
        <v>381</v>
      </c>
      <c r="D26" s="140">
        <v>48444</v>
      </c>
      <c r="E26" s="140">
        <v>99958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4">
      <c r="A27" s="9"/>
      <c r="B27" s="44" t="s">
        <v>63</v>
      </c>
      <c r="C27" s="27">
        <f t="shared" ref="C27:M27" si="9">IF(C7="","",C23+C25)</f>
        <v>37526905</v>
      </c>
      <c r="D27" s="27">
        <f t="shared" si="9"/>
        <v>44635494</v>
      </c>
      <c r="E27" s="27">
        <f t="shared" si="9"/>
        <v>39691857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4">
      <c r="A28" s="9"/>
      <c r="B28" s="44" t="s">
        <v>64</v>
      </c>
      <c r="C28" s="176">
        <v>132313126</v>
      </c>
      <c r="D28" s="35">
        <v>124656340</v>
      </c>
      <c r="E28" s="35">
        <v>115383027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4">
      <c r="A29" s="9"/>
      <c r="B29" s="141" t="s">
        <v>211</v>
      </c>
      <c r="C29" s="175">
        <v>116828895</v>
      </c>
      <c r="D29" s="140">
        <v>109872537</v>
      </c>
      <c r="E29" s="140">
        <v>101704510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4">
      <c r="A30" s="9"/>
      <c r="B30" s="44" t="s">
        <v>65</v>
      </c>
      <c r="C30" s="176">
        <v>10474939</v>
      </c>
      <c r="D30" s="35">
        <v>21538970</v>
      </c>
      <c r="E30" s="35">
        <v>15235372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4">
      <c r="A31" s="9"/>
      <c r="B31" s="44" t="s">
        <v>235</v>
      </c>
      <c r="C31" s="176">
        <v>16476695</v>
      </c>
      <c r="D31" s="35">
        <v>15874948</v>
      </c>
      <c r="E31" s="35">
        <v>11701131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4">
      <c r="A32" s="9"/>
      <c r="B32" s="44" t="s">
        <v>66</v>
      </c>
      <c r="C32" s="14">
        <f t="shared" ref="C32:M32" si="10">IF(D7="","",(C30-D30)/C30)</f>
        <v>-1.0562382272584117</v>
      </c>
      <c r="D32" s="14">
        <f t="shared" si="10"/>
        <v>0.29266014113023975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4">
      <c r="A33" s="9"/>
      <c r="B33" s="44" t="s">
        <v>67</v>
      </c>
      <c r="C33" s="248">
        <f>IF(D7="","",(C7-D7)*Asset_Model!$D$65)</f>
        <v>120099.29999999999</v>
      </c>
      <c r="D33" s="248">
        <f>IF(E7="","",(D7-E7)*Asset_Model!$D$65)</f>
        <v>-524898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4">
      <c r="A34" s="9"/>
      <c r="B34" s="44" t="s">
        <v>79</v>
      </c>
      <c r="C34" s="143">
        <f>IF(D7="","",C30-D30+C33+IF($C$49="Yes",C51,0))</f>
        <v>-10943931.699999999</v>
      </c>
      <c r="D34" s="143">
        <f>IF(E7="","",D30-E30+D33+IF($C$49="Yes",D51,0))</f>
        <v>5778700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39" t="str">
        <f t="shared" ref="M34" si="18">IF(N7="","",M30-N30+M33+IF($C$49="Yes",M51,0))</f>
        <v/>
      </c>
      <c r="N34" s="6"/>
    </row>
    <row r="35" spans="1:14" ht="15.75" customHeight="1" x14ac:dyDescent="0.4">
      <c r="A35" s="9"/>
      <c r="B35" s="247" t="s">
        <v>68</v>
      </c>
      <c r="C35" s="239">
        <f t="shared" ref="C35:M35" si="19">IF(C34="","",C34/C16)</f>
        <v>-1.6238096884355064</v>
      </c>
      <c r="D35" s="239">
        <f t="shared" si="19"/>
        <v>0.85317585695547904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4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4">
      <c r="A37" s="9"/>
      <c r="B37" s="168" t="s">
        <v>258</v>
      </c>
      <c r="C37" s="165">
        <v>5316230</v>
      </c>
      <c r="D37" s="165">
        <v>1966277</v>
      </c>
      <c r="E37" s="165">
        <v>1965289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4">
      <c r="A38" s="9"/>
      <c r="B38" s="142" t="s">
        <v>70</v>
      </c>
      <c r="C38" s="164">
        <v>40396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4">
      <c r="A39" s="9"/>
      <c r="B39" s="142" t="s">
        <v>207</v>
      </c>
      <c r="C39" s="170">
        <f t="shared" ref="C39:M39" si="20">IF(C37="","",C37*$C$4/Common_Shares)</f>
        <v>3.663056256641724</v>
      </c>
      <c r="D39" s="170">
        <f t="shared" si="20"/>
        <v>1.3548291302559745</v>
      </c>
      <c r="E39" s="170">
        <f t="shared" si="20"/>
        <v>1.3541483659584248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4">
      <c r="A40" s="9"/>
      <c r="B40" s="169" t="s">
        <v>208</v>
      </c>
      <c r="C40" s="172">
        <f t="shared" ref="C40:M40" si="21">IF(C38="","",C38*$C$4/Common_Shares)</f>
        <v>2.7834164538272248E-2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4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4">
      <c r="A42" s="9"/>
      <c r="B42" s="43" t="s">
        <v>72</v>
      </c>
      <c r="C42" s="48">
        <f>IF(C29="","",C25/C28)</f>
        <v>0.24344217368124157</v>
      </c>
      <c r="D42" s="48">
        <f t="shared" ref="D42:M42" si="22">IF(D29="","",D25/D29)</f>
        <v>0.34285826129599611</v>
      </c>
      <c r="E42" s="48">
        <f t="shared" si="22"/>
        <v>0.30625268240316972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4">
      <c r="A43" s="9"/>
      <c r="B43" s="44" t="s">
        <v>253</v>
      </c>
      <c r="C43" s="14">
        <f t="shared" ref="C43:M43" si="23">IF(C29="","",C27/C29)</f>
        <v>0.32121253051310639</v>
      </c>
      <c r="D43" s="14">
        <f t="shared" si="23"/>
        <v>0.40624795985187817</v>
      </c>
      <c r="E43" s="14">
        <f t="shared" si="23"/>
        <v>0.39026643951187612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4">
      <c r="A44" s="9"/>
      <c r="B44" s="44" t="s">
        <v>73</v>
      </c>
      <c r="C44" s="50">
        <f t="shared" ref="C44:M44" si="24">IF(C14="","",IF(C27&lt;=0,"-",C14/C27))</f>
        <v>0.17959551953458458</v>
      </c>
      <c r="D44" s="50">
        <f t="shared" si="24"/>
        <v>0.15174390138932931</v>
      </c>
      <c r="E44" s="50">
        <f t="shared" si="24"/>
        <v>0.18597925514041835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4">
      <c r="A45" s="9"/>
      <c r="B45" s="44" t="s">
        <v>74</v>
      </c>
      <c r="C45" s="14">
        <f t="shared" ref="C45:M45" si="25">IF(C16="","",IF(C18&lt;=0,"-",C18/C16))</f>
        <v>8.3484280521996343E-2</v>
      </c>
      <c r="D45" s="14">
        <f t="shared" si="25"/>
        <v>0.11541356447297009</v>
      </c>
      <c r="E45" s="14">
        <f t="shared" si="25"/>
        <v>0.11007588600274565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4">
      <c r="A46" s="9"/>
      <c r="B46" s="46" t="s">
        <v>75</v>
      </c>
      <c r="C46" s="51">
        <f t="shared" ref="C46:M46" si="26">IF(C21="","",C21/C22)</f>
        <v>2.3178775127698175</v>
      </c>
      <c r="D46" s="51">
        <f t="shared" si="26"/>
        <v>2.2711732065770964</v>
      </c>
      <c r="E46" s="51">
        <f t="shared" si="26"/>
        <v>1.5397960079820596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4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4">
      <c r="A48" s="9"/>
      <c r="B48" s="21" t="s">
        <v>76</v>
      </c>
      <c r="C48" s="52"/>
      <c r="D48" s="52"/>
      <c r="E48" s="52"/>
      <c r="F48" s="52"/>
    </row>
    <row r="49" spans="1:13" ht="15" customHeight="1" x14ac:dyDescent="0.4">
      <c r="A49" s="9"/>
      <c r="B49" s="5" t="s">
        <v>77</v>
      </c>
      <c r="C49" s="338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4">
      <c r="A50" s="9"/>
      <c r="B50" s="5"/>
      <c r="C50" s="335"/>
      <c r="D50" s="6"/>
      <c r="E50" s="335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4">
      <c r="A51" s="9"/>
      <c r="B51" s="336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4">
      <c r="A52" s="9"/>
      <c r="B52" s="337" t="s">
        <v>300</v>
      </c>
      <c r="C52" s="344" t="str">
        <f>IF(C51="","",C51/C7)</f>
        <v/>
      </c>
      <c r="D52" s="344" t="str">
        <f t="shared" ref="D52:M52" si="27">IF(D51="","",D51/D7)</f>
        <v/>
      </c>
      <c r="E52" s="344" t="str">
        <f t="shared" si="27"/>
        <v/>
      </c>
      <c r="F52" s="344" t="str">
        <f t="shared" si="27"/>
        <v/>
      </c>
      <c r="G52" s="344" t="str">
        <f t="shared" si="27"/>
        <v/>
      </c>
      <c r="H52" s="344" t="str">
        <f>IF(H51="","",H51/H7)</f>
        <v/>
      </c>
      <c r="I52" s="344" t="str">
        <f t="shared" si="27"/>
        <v/>
      </c>
      <c r="J52" s="344" t="str">
        <f t="shared" si="27"/>
        <v/>
      </c>
      <c r="K52" s="344" t="str">
        <f t="shared" si="27"/>
        <v/>
      </c>
      <c r="L52" s="344" t="str">
        <f t="shared" si="27"/>
        <v/>
      </c>
      <c r="M52" s="345" t="str">
        <f t="shared" si="27"/>
        <v/>
      </c>
    </row>
    <row r="53" spans="1:13" ht="15.75" customHeight="1" x14ac:dyDescent="0.4">
      <c r="A53" s="9"/>
      <c r="B53" s="53"/>
      <c r="C53" s="56"/>
      <c r="D53" s="56"/>
    </row>
    <row r="54" spans="1:13" ht="15.75" customHeight="1" x14ac:dyDescent="0.4">
      <c r="A54" s="9"/>
      <c r="B54" s="53"/>
      <c r="C54" s="56"/>
      <c r="D54" s="56"/>
    </row>
    <row r="55" spans="1:13" ht="15.75" customHeight="1" x14ac:dyDescent="0.4">
      <c r="A55" s="9"/>
      <c r="B55" s="53"/>
      <c r="C55" s="56"/>
      <c r="D55" s="56"/>
    </row>
    <row r="56" spans="1:13" ht="15.75" customHeight="1" x14ac:dyDescent="0.4">
      <c r="A56" s="9"/>
      <c r="B56" s="53"/>
      <c r="C56" s="57"/>
      <c r="D56" s="57"/>
    </row>
    <row r="57" spans="1:13" ht="15.75" customHeight="1" x14ac:dyDescent="0.4">
      <c r="A57" s="9"/>
      <c r="B57" s="53"/>
      <c r="C57" s="56"/>
      <c r="D57" s="56"/>
    </row>
    <row r="58" spans="1:13" ht="15.75" customHeight="1" x14ac:dyDescent="0.4">
      <c r="A58" s="9"/>
      <c r="B58" s="53"/>
      <c r="C58" s="57"/>
      <c r="D58" s="57"/>
    </row>
    <row r="59" spans="1:13" ht="15.75" customHeight="1" x14ac:dyDescent="0.4">
      <c r="A59" s="9"/>
    </row>
    <row r="60" spans="1:13" ht="15.75" customHeight="1" x14ac:dyDescent="0.4">
      <c r="A60" s="9"/>
    </row>
    <row r="61" spans="1:13" ht="15.75" customHeight="1" x14ac:dyDescent="0.4">
      <c r="A61" s="9"/>
    </row>
    <row r="62" spans="1:13" ht="15.75" customHeight="1" x14ac:dyDescent="0.4">
      <c r="A62" s="9"/>
    </row>
    <row r="63" spans="1:13" ht="15.75" customHeight="1" x14ac:dyDescent="0.4">
      <c r="A63" s="9"/>
    </row>
    <row r="64" spans="1:13" ht="15.75" customHeight="1" x14ac:dyDescent="0.4">
      <c r="A64" s="9"/>
    </row>
    <row r="65" spans="1:1" ht="15.75" customHeight="1" x14ac:dyDescent="0.4">
      <c r="A65" s="9"/>
    </row>
    <row r="66" spans="1:1" ht="15.75" customHeight="1" x14ac:dyDescent="0.4">
      <c r="A66" s="9"/>
    </row>
    <row r="67" spans="1:1" ht="15.75" customHeight="1" x14ac:dyDescent="0.4">
      <c r="A67" s="9"/>
    </row>
    <row r="68" spans="1:1" ht="15.75" customHeight="1" x14ac:dyDescent="0.4">
      <c r="A68" s="9"/>
    </row>
    <row r="69" spans="1:1" ht="15.75" customHeight="1" x14ac:dyDescent="0.4">
      <c r="A69" s="9"/>
    </row>
    <row r="70" spans="1:1" ht="15.75" customHeight="1" x14ac:dyDescent="0.4">
      <c r="A70" s="9"/>
    </row>
    <row r="71" spans="1:1" ht="15.75" customHeight="1" x14ac:dyDescent="0.4">
      <c r="A71" s="9"/>
    </row>
    <row r="72" spans="1:1" ht="15.75" customHeight="1" x14ac:dyDescent="0.4">
      <c r="A72" s="9"/>
    </row>
    <row r="73" spans="1:1" ht="15.75" customHeight="1" x14ac:dyDescent="0.4">
      <c r="A73" s="9"/>
    </row>
    <row r="74" spans="1:1" ht="15.75" customHeight="1" x14ac:dyDescent="0.4">
      <c r="A74" s="9"/>
    </row>
    <row r="75" spans="1:1" ht="15.75" customHeight="1" x14ac:dyDescent="0.4">
      <c r="A75" s="9"/>
    </row>
    <row r="76" spans="1:1" ht="15.75" customHeight="1" x14ac:dyDescent="0.4">
      <c r="A76" s="9"/>
    </row>
    <row r="77" spans="1:1" ht="15.75" customHeight="1" x14ac:dyDescent="0.4">
      <c r="A77" s="9"/>
    </row>
    <row r="78" spans="1:1" ht="15.75" customHeight="1" x14ac:dyDescent="0.4">
      <c r="A78" s="9"/>
    </row>
    <row r="79" spans="1:1" ht="15.75" customHeight="1" x14ac:dyDescent="0.4">
      <c r="A79" s="9"/>
    </row>
    <row r="80" spans="1:1" ht="15.75" customHeight="1" x14ac:dyDescent="0.4">
      <c r="A80" s="9"/>
    </row>
    <row r="81" spans="1:1" ht="15.75" customHeight="1" x14ac:dyDescent="0.4">
      <c r="A81" s="9"/>
    </row>
    <row r="82" spans="1:1" ht="15.75" customHeight="1" x14ac:dyDescent="0.4">
      <c r="A82" s="9"/>
    </row>
    <row r="83" spans="1:1" ht="15.75" customHeight="1" x14ac:dyDescent="0.4">
      <c r="A83" s="9"/>
    </row>
    <row r="84" spans="1:1" ht="15.75" customHeight="1" x14ac:dyDescent="0.4">
      <c r="A84" s="9"/>
    </row>
    <row r="85" spans="1:1" ht="15.75" customHeight="1" x14ac:dyDescent="0.4">
      <c r="A85" s="9"/>
    </row>
    <row r="86" spans="1:1" ht="15.75" customHeight="1" x14ac:dyDescent="0.4">
      <c r="A86" s="9"/>
    </row>
    <row r="87" spans="1:1" ht="15.75" customHeight="1" x14ac:dyDescent="0.4">
      <c r="A87" s="9"/>
    </row>
    <row r="88" spans="1:1" ht="15.75" customHeight="1" x14ac:dyDescent="0.4">
      <c r="A88" s="9"/>
    </row>
    <row r="89" spans="1:1" ht="15.75" customHeight="1" x14ac:dyDescent="0.4">
      <c r="A89" s="9"/>
    </row>
    <row r="90" spans="1:1" ht="15.75" customHeight="1" x14ac:dyDescent="0.4">
      <c r="A90" s="9"/>
    </row>
    <row r="91" spans="1:1" ht="15.75" customHeight="1" x14ac:dyDescent="0.4">
      <c r="A91" s="9"/>
    </row>
    <row r="92" spans="1:1" ht="15.75" customHeight="1" x14ac:dyDescent="0.4">
      <c r="A92" s="9"/>
    </row>
    <row r="93" spans="1:1" ht="15.75" customHeight="1" x14ac:dyDescent="0.4">
      <c r="A93" s="9"/>
    </row>
    <row r="94" spans="1:1" ht="15.75" customHeight="1" x14ac:dyDescent="0.4">
      <c r="A94" s="9"/>
    </row>
    <row r="95" spans="1:1" ht="15.75" customHeight="1" x14ac:dyDescent="0.4">
      <c r="A95" s="9"/>
    </row>
    <row r="96" spans="1:1" ht="15.75" customHeight="1" x14ac:dyDescent="0.4">
      <c r="A96" s="9"/>
    </row>
    <row r="97" spans="1:1" ht="15.75" customHeight="1" x14ac:dyDescent="0.4">
      <c r="A97" s="9"/>
    </row>
    <row r="98" spans="1:1" ht="15.75" customHeight="1" x14ac:dyDescent="0.4">
      <c r="A98" s="9"/>
    </row>
    <row r="99" spans="1:1" ht="15.75" customHeight="1" x14ac:dyDescent="0.4">
      <c r="A99" s="9"/>
    </row>
    <row r="100" spans="1:1" ht="15.75" customHeight="1" x14ac:dyDescent="0.4">
      <c r="A100" s="9"/>
    </row>
    <row r="101" spans="1:1" ht="15.75" customHeight="1" x14ac:dyDescent="0.4">
      <c r="A101" s="9"/>
    </row>
    <row r="102" spans="1:1" ht="15.75" customHeight="1" x14ac:dyDescent="0.4">
      <c r="A102" s="9"/>
    </row>
    <row r="103" spans="1:1" ht="15.75" customHeight="1" x14ac:dyDescent="0.4">
      <c r="A103" s="9"/>
    </row>
    <row r="104" spans="1:1" ht="15.75" customHeight="1" x14ac:dyDescent="0.4">
      <c r="A104" s="9"/>
    </row>
    <row r="105" spans="1:1" ht="15.75" customHeight="1" x14ac:dyDescent="0.4">
      <c r="A105" s="9"/>
    </row>
    <row r="106" spans="1:1" ht="15.75" customHeight="1" x14ac:dyDescent="0.4">
      <c r="A106" s="9"/>
    </row>
    <row r="107" spans="1:1" ht="15.75" customHeight="1" x14ac:dyDescent="0.4">
      <c r="A107" s="9"/>
    </row>
    <row r="108" spans="1:1" ht="15.75" customHeight="1" x14ac:dyDescent="0.4">
      <c r="A108" s="9"/>
    </row>
    <row r="109" spans="1:1" ht="15.75" customHeight="1" x14ac:dyDescent="0.4">
      <c r="A109" s="9"/>
    </row>
    <row r="110" spans="1:1" ht="15.75" customHeight="1" x14ac:dyDescent="0.4">
      <c r="A110" s="9"/>
    </row>
    <row r="111" spans="1:1" ht="15.75" customHeight="1" x14ac:dyDescent="0.4">
      <c r="A111" s="9"/>
    </row>
    <row r="112" spans="1:1" ht="15.75" customHeight="1" x14ac:dyDescent="0.4">
      <c r="A112" s="9"/>
    </row>
    <row r="113" spans="1:1" ht="15.75" customHeight="1" x14ac:dyDescent="0.4">
      <c r="A113" s="9"/>
    </row>
    <row r="114" spans="1:1" ht="15.75" customHeight="1" x14ac:dyDescent="0.4">
      <c r="A114" s="9"/>
    </row>
    <row r="115" spans="1:1" ht="15.75" customHeight="1" x14ac:dyDescent="0.4">
      <c r="A115" s="9"/>
    </row>
    <row r="116" spans="1:1" ht="15.75" customHeight="1" x14ac:dyDescent="0.4">
      <c r="A116" s="9"/>
    </row>
    <row r="117" spans="1:1" ht="15.75" customHeight="1" x14ac:dyDescent="0.4">
      <c r="A117" s="9"/>
    </row>
    <row r="118" spans="1:1" ht="15.75" customHeight="1" x14ac:dyDescent="0.4">
      <c r="A118" s="9"/>
    </row>
    <row r="119" spans="1:1" ht="15.75" customHeight="1" x14ac:dyDescent="0.4">
      <c r="A119" s="9"/>
    </row>
    <row r="120" spans="1:1" ht="15.75" customHeight="1" x14ac:dyDescent="0.4">
      <c r="A120" s="9"/>
    </row>
    <row r="121" spans="1:1" ht="15.75" customHeight="1" x14ac:dyDescent="0.4">
      <c r="A121" s="9"/>
    </row>
    <row r="122" spans="1:1" ht="15.75" customHeight="1" x14ac:dyDescent="0.4">
      <c r="A122" s="9"/>
    </row>
    <row r="123" spans="1:1" ht="15.75" customHeight="1" x14ac:dyDescent="0.4">
      <c r="A123" s="9"/>
    </row>
    <row r="124" spans="1:1" ht="15.75" customHeight="1" x14ac:dyDescent="0.4">
      <c r="A124" s="9"/>
    </row>
    <row r="125" spans="1:1" ht="15.75" customHeight="1" x14ac:dyDescent="0.4">
      <c r="A125" s="9"/>
    </row>
    <row r="126" spans="1:1" ht="15.75" customHeight="1" x14ac:dyDescent="0.4">
      <c r="A126" s="9"/>
    </row>
    <row r="127" spans="1:1" ht="15.75" customHeight="1" x14ac:dyDescent="0.4">
      <c r="A127" s="9"/>
    </row>
    <row r="128" spans="1:1" ht="15.75" customHeight="1" x14ac:dyDescent="0.4">
      <c r="A128" s="9"/>
    </row>
    <row r="129" spans="1:1" ht="15.75" customHeight="1" x14ac:dyDescent="0.4">
      <c r="A129" s="9"/>
    </row>
    <row r="130" spans="1:1" ht="15.75" customHeight="1" x14ac:dyDescent="0.4">
      <c r="A130" s="9"/>
    </row>
    <row r="131" spans="1:1" ht="15.75" customHeight="1" x14ac:dyDescent="0.4">
      <c r="A131" s="9"/>
    </row>
    <row r="132" spans="1:1" ht="15.75" customHeight="1" x14ac:dyDescent="0.4">
      <c r="A132" s="9"/>
    </row>
    <row r="133" spans="1:1" ht="15.75" customHeight="1" x14ac:dyDescent="0.4">
      <c r="A133" s="9"/>
    </row>
    <row r="134" spans="1:1" ht="15.75" customHeight="1" x14ac:dyDescent="0.4">
      <c r="A134" s="9"/>
    </row>
    <row r="135" spans="1:1" ht="15.75" customHeight="1" x14ac:dyDescent="0.4">
      <c r="A135" s="9"/>
    </row>
    <row r="136" spans="1:1" ht="15.75" customHeight="1" x14ac:dyDescent="0.4">
      <c r="A136" s="9"/>
    </row>
    <row r="137" spans="1:1" ht="15.75" customHeight="1" x14ac:dyDescent="0.4">
      <c r="A137" s="9"/>
    </row>
    <row r="138" spans="1:1" ht="15.75" customHeight="1" x14ac:dyDescent="0.4">
      <c r="A138" s="9"/>
    </row>
    <row r="139" spans="1:1" ht="15.75" customHeight="1" x14ac:dyDescent="0.4">
      <c r="A139" s="9"/>
    </row>
    <row r="140" spans="1:1" ht="15.75" customHeight="1" x14ac:dyDescent="0.4">
      <c r="A140" s="9"/>
    </row>
    <row r="141" spans="1:1" ht="15.75" customHeight="1" x14ac:dyDescent="0.4">
      <c r="A141" s="9"/>
    </row>
    <row r="142" spans="1:1" ht="15.75" customHeight="1" x14ac:dyDescent="0.4">
      <c r="A142" s="9"/>
    </row>
    <row r="143" spans="1:1" ht="15.75" customHeight="1" x14ac:dyDescent="0.4">
      <c r="A143" s="9"/>
    </row>
    <row r="144" spans="1:1" ht="15.75" customHeight="1" x14ac:dyDescent="0.4">
      <c r="A144" s="9"/>
    </row>
    <row r="145" spans="1:1" ht="15.75" customHeight="1" x14ac:dyDescent="0.4">
      <c r="A145" s="9"/>
    </row>
    <row r="146" spans="1:1" ht="15.75" customHeight="1" x14ac:dyDescent="0.4">
      <c r="A146" s="9"/>
    </row>
    <row r="147" spans="1:1" ht="15.75" customHeight="1" x14ac:dyDescent="0.4">
      <c r="A147" s="9"/>
    </row>
    <row r="148" spans="1:1" ht="15.75" customHeight="1" x14ac:dyDescent="0.4">
      <c r="A148" s="9"/>
    </row>
    <row r="149" spans="1:1" ht="15.75" customHeight="1" x14ac:dyDescent="0.4">
      <c r="A149" s="9"/>
    </row>
    <row r="150" spans="1:1" ht="15.75" customHeight="1" x14ac:dyDescent="0.4">
      <c r="A150" s="9"/>
    </row>
    <row r="151" spans="1:1" ht="15.75" customHeight="1" x14ac:dyDescent="0.4">
      <c r="A151" s="9"/>
    </row>
    <row r="152" spans="1:1" ht="15.75" customHeight="1" x14ac:dyDescent="0.4">
      <c r="A152" s="9"/>
    </row>
    <row r="153" spans="1:1" ht="15.75" customHeight="1" x14ac:dyDescent="0.4">
      <c r="A153" s="9"/>
    </row>
    <row r="154" spans="1:1" ht="15.75" customHeight="1" x14ac:dyDescent="0.4">
      <c r="A154" s="9"/>
    </row>
    <row r="155" spans="1:1" ht="15.75" customHeight="1" x14ac:dyDescent="0.4">
      <c r="A155" s="9"/>
    </row>
    <row r="156" spans="1:1" ht="15.75" customHeight="1" x14ac:dyDescent="0.4">
      <c r="A156" s="9"/>
    </row>
    <row r="157" spans="1:1" ht="15.75" customHeight="1" x14ac:dyDescent="0.4">
      <c r="A157" s="9"/>
    </row>
    <row r="158" spans="1:1" ht="15.75" customHeight="1" x14ac:dyDescent="0.4">
      <c r="A158" s="9"/>
    </row>
    <row r="159" spans="1:1" ht="15.75" customHeight="1" x14ac:dyDescent="0.4">
      <c r="A159" s="9"/>
    </row>
    <row r="160" spans="1:1" ht="15.75" customHeight="1" x14ac:dyDescent="0.4">
      <c r="A160" s="9"/>
    </row>
    <row r="161" spans="1:1" ht="15.75" customHeight="1" x14ac:dyDescent="0.4">
      <c r="A161" s="9"/>
    </row>
    <row r="162" spans="1:1" ht="15.75" customHeight="1" x14ac:dyDescent="0.4">
      <c r="A162" s="9"/>
    </row>
    <row r="163" spans="1:1" ht="15.75" customHeight="1" x14ac:dyDescent="0.4">
      <c r="A163" s="9"/>
    </row>
    <row r="164" spans="1:1" ht="15.75" customHeight="1" x14ac:dyDescent="0.4">
      <c r="A164" s="9"/>
    </row>
    <row r="165" spans="1:1" ht="15.75" customHeight="1" x14ac:dyDescent="0.4">
      <c r="A165" s="9"/>
    </row>
    <row r="166" spans="1:1" ht="15.75" customHeight="1" x14ac:dyDescent="0.4">
      <c r="A166" s="9"/>
    </row>
    <row r="167" spans="1:1" ht="15.75" customHeight="1" x14ac:dyDescent="0.4">
      <c r="A167" s="9"/>
    </row>
    <row r="168" spans="1:1" ht="15.75" customHeight="1" x14ac:dyDescent="0.4">
      <c r="A168" s="9"/>
    </row>
    <row r="169" spans="1:1" ht="15.75" customHeight="1" x14ac:dyDescent="0.4">
      <c r="A169" s="9"/>
    </row>
    <row r="170" spans="1:1" ht="15.75" customHeight="1" x14ac:dyDescent="0.4">
      <c r="A170" s="9"/>
    </row>
    <row r="171" spans="1:1" ht="15.75" customHeight="1" x14ac:dyDescent="0.4">
      <c r="A171" s="9"/>
    </row>
    <row r="172" spans="1:1" ht="15.75" customHeight="1" x14ac:dyDescent="0.4">
      <c r="A172" s="9"/>
    </row>
    <row r="173" spans="1:1" ht="15.75" customHeight="1" x14ac:dyDescent="0.4">
      <c r="A173" s="9"/>
    </row>
    <row r="174" spans="1:1" ht="15.75" customHeight="1" x14ac:dyDescent="0.4">
      <c r="A174" s="9"/>
    </row>
    <row r="175" spans="1:1" ht="15.75" customHeight="1" x14ac:dyDescent="0.4">
      <c r="A175" s="9"/>
    </row>
    <row r="176" spans="1:1" ht="15.75" customHeight="1" x14ac:dyDescent="0.4">
      <c r="A176" s="9"/>
    </row>
    <row r="177" spans="1:1" ht="15.75" customHeight="1" x14ac:dyDescent="0.4">
      <c r="A177" s="9"/>
    </row>
    <row r="178" spans="1:1" ht="15.75" customHeight="1" x14ac:dyDescent="0.4">
      <c r="A178" s="9"/>
    </row>
    <row r="179" spans="1:1" ht="15.75" customHeight="1" x14ac:dyDescent="0.4">
      <c r="A179" s="9"/>
    </row>
    <row r="180" spans="1:1" ht="15.75" customHeight="1" x14ac:dyDescent="0.4">
      <c r="A180" s="9"/>
    </row>
    <row r="181" spans="1:1" ht="15.75" customHeight="1" x14ac:dyDescent="0.4">
      <c r="A181" s="9"/>
    </row>
    <row r="182" spans="1:1" ht="15.75" customHeight="1" x14ac:dyDescent="0.4">
      <c r="A182" s="9"/>
    </row>
    <row r="183" spans="1:1" ht="15.75" customHeight="1" x14ac:dyDescent="0.4">
      <c r="A183" s="9"/>
    </row>
    <row r="184" spans="1:1" ht="15.75" customHeight="1" x14ac:dyDescent="0.4">
      <c r="A184" s="9"/>
    </row>
    <row r="185" spans="1:1" ht="15.75" customHeight="1" x14ac:dyDescent="0.4">
      <c r="A185" s="9"/>
    </row>
    <row r="186" spans="1:1" ht="15.75" customHeight="1" x14ac:dyDescent="0.4">
      <c r="A186" s="9"/>
    </row>
    <row r="187" spans="1:1" ht="15.75" customHeight="1" x14ac:dyDescent="0.4">
      <c r="A187" s="9"/>
    </row>
    <row r="188" spans="1:1" ht="15.75" customHeight="1" x14ac:dyDescent="0.4">
      <c r="A188" s="9"/>
    </row>
    <row r="189" spans="1:1" ht="15.75" customHeight="1" x14ac:dyDescent="0.4">
      <c r="A189" s="9"/>
    </row>
    <row r="190" spans="1:1" ht="15.75" customHeight="1" x14ac:dyDescent="0.4">
      <c r="A190" s="9"/>
    </row>
    <row r="191" spans="1:1" ht="15.75" customHeight="1" x14ac:dyDescent="0.4">
      <c r="A191" s="9"/>
    </row>
    <row r="192" spans="1:1" ht="15.75" customHeight="1" x14ac:dyDescent="0.4">
      <c r="A192" s="9"/>
    </row>
    <row r="193" spans="1:1" ht="15.75" customHeight="1" x14ac:dyDescent="0.4">
      <c r="A193" s="9"/>
    </row>
    <row r="194" spans="1:1" ht="15.75" customHeight="1" x14ac:dyDescent="0.4">
      <c r="A194" s="9"/>
    </row>
    <row r="195" spans="1:1" ht="15.75" customHeight="1" x14ac:dyDescent="0.4">
      <c r="A195" s="9"/>
    </row>
    <row r="196" spans="1:1" ht="15.75" customHeight="1" x14ac:dyDescent="0.4">
      <c r="A196" s="9"/>
    </row>
    <row r="197" spans="1:1" ht="15.75" customHeight="1" x14ac:dyDescent="0.4">
      <c r="A197" s="9"/>
    </row>
    <row r="198" spans="1:1" ht="15.75" customHeight="1" x14ac:dyDescent="0.4">
      <c r="A198" s="9"/>
    </row>
    <row r="199" spans="1:1" ht="15.75" customHeight="1" x14ac:dyDescent="0.4">
      <c r="A199" s="9"/>
    </row>
    <row r="200" spans="1:1" ht="15.75" customHeight="1" x14ac:dyDescent="0.4">
      <c r="A200" s="9"/>
    </row>
    <row r="201" spans="1:1" ht="15.75" customHeight="1" x14ac:dyDescent="0.4">
      <c r="A201" s="9"/>
    </row>
    <row r="202" spans="1:1" ht="15.75" customHeight="1" x14ac:dyDescent="0.4">
      <c r="A202" s="9"/>
    </row>
    <row r="203" spans="1:1" ht="15.75" customHeight="1" x14ac:dyDescent="0.4">
      <c r="A203" s="9"/>
    </row>
    <row r="204" spans="1:1" ht="15.75" customHeight="1" x14ac:dyDescent="0.4">
      <c r="A204" s="9"/>
    </row>
    <row r="205" spans="1:1" ht="15.75" customHeight="1" x14ac:dyDescent="0.4">
      <c r="A205" s="9"/>
    </row>
    <row r="206" spans="1:1" ht="15.75" customHeight="1" x14ac:dyDescent="0.4">
      <c r="A206" s="9"/>
    </row>
    <row r="207" spans="1:1" ht="15.75" customHeight="1" x14ac:dyDescent="0.4">
      <c r="A207" s="9"/>
    </row>
    <row r="208" spans="1:1" ht="15.75" customHeight="1" x14ac:dyDescent="0.4">
      <c r="A208" s="9"/>
    </row>
    <row r="209" spans="1:1" ht="15.75" customHeight="1" x14ac:dyDescent="0.4">
      <c r="A209" s="9"/>
    </row>
    <row r="210" spans="1:1" ht="15.75" customHeight="1" x14ac:dyDescent="0.4">
      <c r="A210" s="9"/>
    </row>
    <row r="211" spans="1:1" ht="15.75" customHeight="1" x14ac:dyDescent="0.4">
      <c r="A211" s="9"/>
    </row>
    <row r="212" spans="1:1" ht="15.75" customHeight="1" x14ac:dyDescent="0.4">
      <c r="A212" s="9"/>
    </row>
    <row r="213" spans="1:1" ht="15.75" customHeight="1" x14ac:dyDescent="0.4">
      <c r="A213" s="9"/>
    </row>
    <row r="214" spans="1:1" ht="15.75" customHeight="1" x14ac:dyDescent="0.4">
      <c r="A214" s="9"/>
    </row>
    <row r="215" spans="1:1" ht="15.75" customHeight="1" x14ac:dyDescent="0.4">
      <c r="A215" s="9"/>
    </row>
    <row r="216" spans="1:1" ht="15.75" customHeight="1" x14ac:dyDescent="0.4">
      <c r="A216" s="9"/>
    </row>
    <row r="217" spans="1:1" ht="15.75" customHeight="1" x14ac:dyDescent="0.4">
      <c r="A217" s="9"/>
    </row>
    <row r="218" spans="1:1" ht="15.75" customHeight="1" x14ac:dyDescent="0.4">
      <c r="A218" s="9"/>
    </row>
    <row r="219" spans="1:1" ht="15.75" customHeight="1" x14ac:dyDescent="0.4">
      <c r="A219" s="9"/>
    </row>
    <row r="220" spans="1:1" ht="15.75" customHeight="1" x14ac:dyDescent="0.4">
      <c r="A220" s="9"/>
    </row>
    <row r="221" spans="1:1" ht="15.75" customHeight="1" x14ac:dyDescent="0.4">
      <c r="A221" s="9"/>
    </row>
    <row r="222" spans="1:1" ht="15.75" customHeight="1" x14ac:dyDescent="0.4">
      <c r="A222" s="9"/>
    </row>
    <row r="223" spans="1:1" ht="15.75" customHeight="1" x14ac:dyDescent="0.4">
      <c r="A223" s="9"/>
    </row>
    <row r="224" spans="1:1" ht="15.75" customHeight="1" x14ac:dyDescent="0.4">
      <c r="A224" s="9"/>
    </row>
    <row r="225" spans="1:1" ht="15.75" customHeight="1" x14ac:dyDescent="0.4">
      <c r="A225" s="9"/>
    </row>
    <row r="226" spans="1:1" ht="15.75" customHeight="1" x14ac:dyDescent="0.4">
      <c r="A226" s="9"/>
    </row>
    <row r="227" spans="1:1" ht="15.75" customHeight="1" x14ac:dyDescent="0.4">
      <c r="A227" s="9"/>
    </row>
    <row r="228" spans="1:1" ht="15.75" customHeight="1" x14ac:dyDescent="0.4">
      <c r="A228" s="9"/>
    </row>
    <row r="229" spans="1:1" ht="15.75" customHeight="1" x14ac:dyDescent="0.4">
      <c r="A229" s="9"/>
    </row>
    <row r="230" spans="1:1" ht="15.75" customHeight="1" x14ac:dyDescent="0.4">
      <c r="A230" s="9"/>
    </row>
    <row r="231" spans="1:1" ht="15.75" customHeight="1" x14ac:dyDescent="0.4">
      <c r="A231" s="9"/>
    </row>
    <row r="232" spans="1:1" ht="15.75" customHeight="1" x14ac:dyDescent="0.4">
      <c r="A232" s="9"/>
    </row>
    <row r="233" spans="1:1" ht="15.75" customHeight="1" x14ac:dyDescent="0.4">
      <c r="A233" s="9"/>
    </row>
    <row r="234" spans="1:1" ht="15.75" customHeight="1" x14ac:dyDescent="0.4">
      <c r="A234" s="9"/>
    </row>
    <row r="235" spans="1:1" ht="15.75" customHeight="1" x14ac:dyDescent="0.4">
      <c r="A235" s="9"/>
    </row>
    <row r="236" spans="1:1" ht="15.75" customHeight="1" x14ac:dyDescent="0.4">
      <c r="A236" s="9"/>
    </row>
    <row r="237" spans="1:1" ht="15.75" customHeight="1" x14ac:dyDescent="0.4">
      <c r="A237" s="9"/>
    </row>
    <row r="238" spans="1:1" ht="15.75" customHeight="1" x14ac:dyDescent="0.4">
      <c r="A238" s="9"/>
    </row>
    <row r="239" spans="1:1" ht="15.75" customHeight="1" x14ac:dyDescent="0.4">
      <c r="A239" s="9"/>
    </row>
    <row r="240" spans="1:1" ht="15.75" customHeight="1" x14ac:dyDescent="0.4">
      <c r="A240" s="9"/>
    </row>
    <row r="241" spans="1:1" ht="15.75" customHeight="1" x14ac:dyDescent="0.4">
      <c r="A241" s="9"/>
    </row>
    <row r="242" spans="1:1" ht="15.75" customHeight="1" x14ac:dyDescent="0.4">
      <c r="A242" s="9"/>
    </row>
    <row r="243" spans="1:1" ht="15.75" customHeight="1" x14ac:dyDescent="0.4">
      <c r="A243" s="9"/>
    </row>
    <row r="244" spans="1:1" ht="15.75" customHeight="1" x14ac:dyDescent="0.4">
      <c r="A244" s="9"/>
    </row>
    <row r="245" spans="1:1" ht="15.75" customHeight="1" x14ac:dyDescent="0.4">
      <c r="A245" s="9"/>
    </row>
    <row r="246" spans="1:1" ht="15.75" customHeight="1" x14ac:dyDescent="0.4">
      <c r="A246" s="9"/>
    </row>
    <row r="247" spans="1:1" ht="15.75" customHeight="1" x14ac:dyDescent="0.4">
      <c r="A247" s="9"/>
    </row>
    <row r="248" spans="1:1" ht="15.75" customHeight="1" x14ac:dyDescent="0.4">
      <c r="A248" s="9"/>
    </row>
    <row r="249" spans="1:1" ht="15.75" customHeight="1" x14ac:dyDescent="0.4">
      <c r="A249" s="9"/>
    </row>
    <row r="250" spans="1:1" ht="15.75" customHeight="1" x14ac:dyDescent="0.4">
      <c r="A250" s="9"/>
    </row>
    <row r="251" spans="1:1" ht="15.75" customHeight="1" x14ac:dyDescent="0.4">
      <c r="A251" s="9"/>
    </row>
    <row r="252" spans="1:1" ht="15.75" customHeight="1" x14ac:dyDescent="0.4">
      <c r="A252" s="9"/>
    </row>
    <row r="253" spans="1:1" ht="15.75" customHeight="1" x14ac:dyDescent="0.4">
      <c r="A253" s="9"/>
    </row>
    <row r="254" spans="1:1" ht="15.75" customHeight="1" x14ac:dyDescent="0.4">
      <c r="A254" s="9"/>
    </row>
    <row r="255" spans="1:1" ht="15.75" customHeight="1" x14ac:dyDescent="0.4">
      <c r="A255" s="9"/>
    </row>
    <row r="256" spans="1:1" ht="15.75" customHeight="1" x14ac:dyDescent="0.4">
      <c r="A256" s="9"/>
    </row>
    <row r="257" spans="1:1" ht="15.75" customHeight="1" x14ac:dyDescent="0.4">
      <c r="A257" s="9"/>
    </row>
    <row r="258" spans="1:1" ht="15.75" customHeight="1" x14ac:dyDescent="0.4">
      <c r="A258" s="9"/>
    </row>
    <row r="259" spans="1:1" ht="15.75" customHeight="1" x14ac:dyDescent="0.4"/>
    <row r="260" spans="1:1" ht="15.75" customHeight="1" x14ac:dyDescent="0.4"/>
    <row r="261" spans="1:1" ht="15.75" customHeight="1" x14ac:dyDescent="0.4"/>
    <row r="262" spans="1:1" ht="15.75" customHeight="1" x14ac:dyDescent="0.4"/>
    <row r="263" spans="1:1" ht="15.75" customHeight="1" x14ac:dyDescent="0.4"/>
    <row r="264" spans="1:1" ht="15.75" customHeight="1" x14ac:dyDescent="0.4"/>
    <row r="265" spans="1:1" ht="15.75" customHeight="1" x14ac:dyDescent="0.4"/>
    <row r="266" spans="1:1" ht="15.75" customHeight="1" x14ac:dyDescent="0.4"/>
    <row r="267" spans="1:1" ht="15.75" customHeight="1" x14ac:dyDescent="0.4"/>
    <row r="268" spans="1:1" ht="15.75" customHeight="1" x14ac:dyDescent="0.4"/>
    <row r="269" spans="1:1" ht="15.75" customHeight="1" x14ac:dyDescent="0.4"/>
    <row r="270" spans="1:1" ht="15.75" customHeight="1" x14ac:dyDescent="0.4"/>
    <row r="271" spans="1:1" ht="15.75" customHeight="1" x14ac:dyDescent="0.4"/>
    <row r="272" spans="1:1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</sheetData>
  <phoneticPr fontId="30" type="noConversion"/>
  <conditionalFormatting sqref="B51:M52">
    <cfRule type="expression" dxfId="14" priority="1">
      <formula>$C$49="No"</formula>
    </cfRule>
  </conditionalFormatting>
  <conditionalFormatting sqref="C7:M35 D42:M46">
    <cfRule type="containsBlanks" dxfId="13" priority="3">
      <formula>LEN(TRIM(C7))=0</formula>
    </cfRule>
  </conditionalFormatting>
  <conditionalFormatting sqref="C37:M40">
    <cfRule type="containsBlanks" dxfId="12" priority="5">
      <formula>LEN(TRIM(C37))=0</formula>
    </cfRule>
  </conditionalFormatting>
  <conditionalFormatting sqref="D17:M18">
    <cfRule type="containsBlanks" dxfId="11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13" sqref="E13"/>
    </sheetView>
  </sheetViews>
  <sheetFormatPr defaultColWidth="12.46484375" defaultRowHeight="15" customHeight="1" x14ac:dyDescent="0.4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1328125" style="3" customWidth="1"/>
    <col min="8" max="8" width="18.46484375" style="3" bestFit="1" customWidth="1"/>
    <col min="9" max="9" width="13.33203125" style="3" bestFit="1" customWidth="1"/>
    <col min="10" max="10" width="4.6640625" style="3" customWidth="1"/>
    <col min="11" max="11" width="38.796875" style="3" customWidth="1"/>
    <col min="12" max="16384" width="12.46484375" style="3"/>
  </cols>
  <sheetData>
    <row r="2" spans="1:11" ht="15" customHeight="1" x14ac:dyDescent="0.4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3" t="s">
        <v>141</v>
      </c>
    </row>
    <row r="3" spans="1:11" ht="15" customHeight="1" x14ac:dyDescent="0.4">
      <c r="B3" s="5" t="s">
        <v>259</v>
      </c>
      <c r="C3" s="6"/>
      <c r="D3" s="273">
        <v>128099808</v>
      </c>
      <c r="E3" s="156" t="str">
        <f>IF((C46-I46)=D3,"", "Error!")</f>
        <v/>
      </c>
      <c r="F3" s="6"/>
      <c r="G3" s="6"/>
      <c r="H3" s="274" t="s">
        <v>260</v>
      </c>
      <c r="I3" s="275">
        <v>113579020</v>
      </c>
      <c r="K3" s="74"/>
    </row>
    <row r="4" spans="1:11" ht="15" customHeight="1" x14ac:dyDescent="0.4">
      <c r="B4" s="5" t="s">
        <v>226</v>
      </c>
      <c r="C4" s="6"/>
      <c r="D4" s="276">
        <f>D3-I3</f>
        <v>14520788</v>
      </c>
      <c r="E4" s="150"/>
      <c r="F4" s="6"/>
      <c r="G4" s="6"/>
      <c r="H4" s="60" t="s">
        <v>82</v>
      </c>
      <c r="I4" s="91">
        <f>(I3*Dashboard!I12*Data!C4)/Dashboard!I5</f>
        <v>78.259657658572991</v>
      </c>
      <c r="K4" s="74"/>
    </row>
    <row r="5" spans="1:11" ht="15" customHeight="1" x14ac:dyDescent="0.4">
      <c r="D5" s="6"/>
      <c r="E5" s="23" t="s">
        <v>83</v>
      </c>
      <c r="I5" s="6"/>
      <c r="K5" s="74"/>
    </row>
    <row r="6" spans="1:11" ht="15" customHeight="1" x14ac:dyDescent="0.4">
      <c r="B6" s="58" t="s">
        <v>84</v>
      </c>
      <c r="C6" s="6"/>
      <c r="D6" s="59">
        <f>E46-I46-E50+MIN('FCFF Model'!D4,0)</f>
        <v>21138724.050000012</v>
      </c>
      <c r="E6" s="14">
        <f>1-D6/D3</f>
        <v>0.83498239084011727</v>
      </c>
      <c r="F6" s="6"/>
      <c r="G6" s="6"/>
      <c r="H6" s="3" t="s">
        <v>330</v>
      </c>
      <c r="I6" s="69">
        <f>C26/I26</f>
        <v>2.8884009263879551</v>
      </c>
      <c r="J6" s="6"/>
      <c r="K6" s="74"/>
    </row>
    <row r="7" spans="1:11" ht="15" customHeight="1" x14ac:dyDescent="0.4">
      <c r="B7" s="53" t="s">
        <v>85</v>
      </c>
      <c r="D7" s="61">
        <f>MAX((D6*Exchange_Rate*Data!C4)/Dashboard!I5, 0)</f>
        <v>14.565271891693065</v>
      </c>
      <c r="E7" s="49" t="str">
        <f>Dashboard!J4</f>
        <v>HKD</v>
      </c>
      <c r="H7" s="3" t="s">
        <v>331</v>
      </c>
      <c r="I7" s="69">
        <f>C25/I26</f>
        <v>0.97485026520690499</v>
      </c>
      <c r="J7" s="6"/>
      <c r="K7" s="116"/>
    </row>
    <row r="8" spans="1:11" ht="15" customHeight="1" x14ac:dyDescent="0.4">
      <c r="D8" s="6"/>
      <c r="H8" s="3" t="s">
        <v>332</v>
      </c>
      <c r="I8" s="69">
        <f>C24/I26</f>
        <v>0.84442709717655773</v>
      </c>
      <c r="K8" s="74"/>
    </row>
    <row r="9" spans="1:11" ht="15" customHeight="1" x14ac:dyDescent="0.4">
      <c r="A9" s="4"/>
      <c r="B9" s="268" t="s">
        <v>255</v>
      </c>
      <c r="C9" s="255"/>
      <c r="D9" s="271">
        <v>44742</v>
      </c>
      <c r="E9" s="290" t="s">
        <v>347</v>
      </c>
      <c r="F9" s="133"/>
      <c r="G9" s="133"/>
      <c r="H9" s="133"/>
      <c r="I9" s="133"/>
      <c r="K9" s="74"/>
    </row>
    <row r="10" spans="1:11" ht="15" customHeight="1" x14ac:dyDescent="0.4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4">
      <c r="B11" s="5" t="s">
        <v>91</v>
      </c>
      <c r="C11" s="64">
        <v>16946370</v>
      </c>
      <c r="D11" s="65">
        <v>1</v>
      </c>
      <c r="E11" s="27">
        <f t="shared" ref="E11:E21" si="0">C11*D11</f>
        <v>16946370</v>
      </c>
      <c r="F11" s="6"/>
      <c r="G11" s="6"/>
      <c r="H11" s="5" t="s">
        <v>92</v>
      </c>
      <c r="I11" s="64">
        <v>2253528</v>
      </c>
      <c r="J11" s="6"/>
      <c r="K11" s="74"/>
    </row>
    <row r="12" spans="1:11" ht="13.9" x14ac:dyDescent="0.4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31180.352999999999</v>
      </c>
      <c r="J12" s="6"/>
      <c r="K12" s="74"/>
    </row>
    <row r="13" spans="1:11" ht="13.9" x14ac:dyDescent="0.4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861793.34100000001</v>
      </c>
      <c r="J13" s="6"/>
      <c r="K13" s="77"/>
    </row>
    <row r="14" spans="1:11" ht="13.9" x14ac:dyDescent="0.4">
      <c r="B14" s="5" t="s">
        <v>97</v>
      </c>
      <c r="C14" s="64">
        <v>0</v>
      </c>
      <c r="D14" s="65">
        <v>0.8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3.9" x14ac:dyDescent="0.4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5">
        <f>I26-SUM(I11:I14)</f>
        <v>16921980.306000002</v>
      </c>
      <c r="J15" s="6"/>
    </row>
    <row r="16" spans="1:11" ht="13.9" x14ac:dyDescent="0.4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3.9" x14ac:dyDescent="0.4">
      <c r="B17" s="5" t="s">
        <v>101</v>
      </c>
      <c r="C17" s="64">
        <v>2617395</v>
      </c>
      <c r="D17" s="65">
        <v>0.5</v>
      </c>
      <c r="E17" s="27">
        <f t="shared" si="0"/>
        <v>1308697.5</v>
      </c>
      <c r="F17" s="6"/>
      <c r="G17" s="6"/>
      <c r="H17" s="5"/>
      <c r="I17" s="154"/>
      <c r="J17" s="6"/>
    </row>
    <row r="18" spans="2:10" ht="13.9" x14ac:dyDescent="0.4">
      <c r="B18" s="5" t="s">
        <v>102</v>
      </c>
      <c r="C18" s="64">
        <v>0</v>
      </c>
      <c r="D18" s="65">
        <v>0.5</v>
      </c>
      <c r="E18" s="27">
        <f t="shared" si="0"/>
        <v>0</v>
      </c>
      <c r="G18" s="6"/>
    </row>
    <row r="19" spans="2:10" ht="13.9" x14ac:dyDescent="0.4">
      <c r="B19" s="3" t="s">
        <v>103</v>
      </c>
      <c r="C19" s="64">
        <v>17196881</v>
      </c>
      <c r="D19" s="65">
        <v>0.6</v>
      </c>
      <c r="E19" s="27">
        <f t="shared" si="0"/>
        <v>10318128.6</v>
      </c>
      <c r="F19" s="204" t="s">
        <v>243</v>
      </c>
      <c r="G19" s="94">
        <f>IF(F19="Y",0,1)</f>
        <v>0</v>
      </c>
      <c r="H19" s="5"/>
      <c r="I19" s="154"/>
    </row>
    <row r="20" spans="2:10" ht="13.9" x14ac:dyDescent="0.4">
      <c r="B20" s="5" t="s">
        <v>104</v>
      </c>
      <c r="C20" s="64">
        <v>20570771</v>
      </c>
      <c r="D20" s="65">
        <v>0.4</v>
      </c>
      <c r="E20" s="27">
        <f t="shared" si="0"/>
        <v>8228308.4000000004</v>
      </c>
      <c r="F20" s="204" t="s">
        <v>243</v>
      </c>
      <c r="G20" s="94">
        <f>IF(F20="Y",0,1)</f>
        <v>0</v>
      </c>
      <c r="H20" s="5"/>
      <c r="I20" s="154"/>
    </row>
    <row r="21" spans="2:10" ht="13.9" x14ac:dyDescent="0.4">
      <c r="B21" s="5" t="s">
        <v>105</v>
      </c>
      <c r="C21" s="64">
        <v>634405</v>
      </c>
      <c r="D21" s="65">
        <v>0.95</v>
      </c>
      <c r="E21" s="27">
        <f t="shared" si="0"/>
        <v>602684.75</v>
      </c>
      <c r="F21" s="6"/>
      <c r="G21" s="6"/>
      <c r="H21" s="5"/>
      <c r="I21" s="154"/>
    </row>
    <row r="22" spans="2:10" ht="15" customHeight="1" x14ac:dyDescent="0.4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4">
      <c r="C23" s="6"/>
      <c r="D23" s="6"/>
      <c r="E23" s="6"/>
      <c r="F23" s="6"/>
      <c r="G23" s="6"/>
    </row>
    <row r="24" spans="2:10" ht="15" customHeight="1" x14ac:dyDescent="0.4">
      <c r="B24" s="66" t="s">
        <v>107</v>
      </c>
      <c r="C24" s="70">
        <f>SUM(C11:C14)</f>
        <v>16946370</v>
      </c>
      <c r="D24" s="68">
        <f>IF(E24=0,0,E24/C24)</f>
        <v>1</v>
      </c>
      <c r="E24" s="27">
        <f>SUM(E11:E14)</f>
        <v>16946370</v>
      </c>
      <c r="F24" s="6"/>
      <c r="G24" s="6"/>
      <c r="H24" s="66" t="s">
        <v>108</v>
      </c>
      <c r="I24" s="69">
        <f>E24/($I$26-I15)</f>
        <v>5.3857813050966081</v>
      </c>
      <c r="J24" s="13" t="str">
        <f>IF(I24&lt;1,"Liquidity Problem!","")</f>
        <v/>
      </c>
    </row>
    <row r="25" spans="2:10" ht="15" customHeight="1" x14ac:dyDescent="0.4">
      <c r="B25" s="66" t="s">
        <v>109</v>
      </c>
      <c r="C25" s="70">
        <f>C24+SUM(C15:C17)</f>
        <v>19563765</v>
      </c>
      <c r="D25" s="68">
        <f>IF(E25=0,0,E25/C25)</f>
        <v>0.93310605090584553</v>
      </c>
      <c r="E25" s="27">
        <f>E24+SUM(E15:E17)</f>
        <v>18255067.5</v>
      </c>
      <c r="F25" s="6"/>
      <c r="G25" s="6"/>
      <c r="H25" s="66" t="s">
        <v>110</v>
      </c>
      <c r="I25" s="69">
        <f>E25/$I$26</f>
        <v>0.90963868119173141</v>
      </c>
      <c r="J25" s="13" t="str">
        <f>IF(OR(I25&lt;0.75,C26&lt;I26),"Liquidity Problem!","")</f>
        <v/>
      </c>
    </row>
    <row r="26" spans="2:10" ht="15" customHeight="1" x14ac:dyDescent="0.4">
      <c r="B26" s="5" t="s">
        <v>111</v>
      </c>
      <c r="C26" s="70">
        <f>SUM(C11:C22)</f>
        <v>57965822</v>
      </c>
      <c r="D26" s="14">
        <f t="shared" ref="D26" si="2">E26/C26</f>
        <v>0.64528006262034898</v>
      </c>
      <c r="E26" s="27">
        <f>SUM(E11:E22)</f>
        <v>37404189.25</v>
      </c>
      <c r="H26" s="5" t="s">
        <v>58</v>
      </c>
      <c r="I26" s="64">
        <v>20068482</v>
      </c>
      <c r="J26" s="107">
        <f>IF(J24="",1,0)+IF(J25="",1,0)+IF(J44="",1,0)+IF(J45="",1,0)</f>
        <v>3</v>
      </c>
    </row>
    <row r="27" spans="2:10" ht="15" customHeight="1" x14ac:dyDescent="0.4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4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2943251.338</v>
      </c>
      <c r="J28" s="6"/>
    </row>
    <row r="29" spans="2:10" ht="15" customHeight="1" x14ac:dyDescent="0.4">
      <c r="B29" s="5" t="s">
        <v>114</v>
      </c>
      <c r="C29" s="64">
        <v>2179420</v>
      </c>
      <c r="D29" s="65">
        <v>0.6</v>
      </c>
      <c r="E29" s="27">
        <f t="shared" ref="E29:E40" si="3">C29*D29</f>
        <v>1307652</v>
      </c>
      <c r="F29" s="6"/>
      <c r="G29" s="6"/>
      <c r="H29" s="5" t="s">
        <v>115</v>
      </c>
      <c r="I29" s="64">
        <v>13550.745000000001</v>
      </c>
      <c r="J29" s="6"/>
    </row>
    <row r="30" spans="2:10" ht="15" customHeight="1" x14ac:dyDescent="0.4">
      <c r="B30" s="5" t="s">
        <v>116</v>
      </c>
      <c r="C30" s="64">
        <v>608531</v>
      </c>
      <c r="D30" s="65">
        <v>0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3.9" x14ac:dyDescent="0.4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3.9" x14ac:dyDescent="0.4">
      <c r="B32" s="5" t="s">
        <v>119</v>
      </c>
      <c r="C32" s="64">
        <v>1107494</v>
      </c>
      <c r="D32" s="65">
        <v>0.4</v>
      </c>
      <c r="E32" s="27">
        <f t="shared" si="3"/>
        <v>442997.60000000003</v>
      </c>
      <c r="G32" s="6"/>
      <c r="H32" s="5" t="s">
        <v>120</v>
      </c>
      <c r="I32" s="155">
        <f>I42-SUM(I28:I31)</f>
        <v>64065728.917000003</v>
      </c>
      <c r="J32" s="6"/>
    </row>
    <row r="33" spans="2:10" ht="13.9" x14ac:dyDescent="0.4">
      <c r="B33" s="5" t="s">
        <v>121</v>
      </c>
      <c r="C33" s="64">
        <v>27509451</v>
      </c>
      <c r="D33" s="65">
        <v>0.4</v>
      </c>
      <c r="E33" s="220">
        <f t="shared" si="3"/>
        <v>11003780.4</v>
      </c>
      <c r="F33" s="204" t="s">
        <v>244</v>
      </c>
      <c r="G33" s="94">
        <f>IF(F33="Y",0,1)</f>
        <v>1</v>
      </c>
      <c r="J33" s="6"/>
    </row>
    <row r="34" spans="2:10" ht="13.9" x14ac:dyDescent="0.4">
      <c r="B34" s="5" t="s">
        <v>122</v>
      </c>
      <c r="C34" s="64">
        <v>80948092</v>
      </c>
      <c r="D34" s="65">
        <v>0.7</v>
      </c>
      <c r="E34" s="220">
        <f t="shared" si="3"/>
        <v>56663664.399999999</v>
      </c>
      <c r="F34" s="204" t="s">
        <v>243</v>
      </c>
      <c r="G34" s="94">
        <f>IF(F34="Y",0,1)</f>
        <v>0</v>
      </c>
    </row>
    <row r="35" spans="2:10" ht="13.9" x14ac:dyDescent="0.4">
      <c r="B35" s="3" t="s">
        <v>104</v>
      </c>
      <c r="C35" s="64">
        <v>21257867</v>
      </c>
      <c r="D35" s="65">
        <v>0.4</v>
      </c>
      <c r="E35" s="27">
        <f t="shared" si="3"/>
        <v>8503146.8000000007</v>
      </c>
      <c r="F35" s="204" t="s">
        <v>243</v>
      </c>
      <c r="G35" s="94">
        <f>IF(F35="Y",0,1)</f>
        <v>0</v>
      </c>
    </row>
    <row r="36" spans="2:10" ht="15" customHeight="1" x14ac:dyDescent="0.4">
      <c r="B36" s="5" t="s">
        <v>304</v>
      </c>
      <c r="C36" s="64">
        <v>21664879</v>
      </c>
      <c r="D36" s="65">
        <v>0.3</v>
      </c>
      <c r="E36" s="27">
        <f t="shared" si="3"/>
        <v>6499463.7000000002</v>
      </c>
      <c r="F36" s="6"/>
      <c r="G36" s="6"/>
    </row>
    <row r="37" spans="2:10" ht="13.9" x14ac:dyDescent="0.4">
      <c r="B37" s="5" t="s">
        <v>305</v>
      </c>
      <c r="C37" s="64">
        <v>1826761</v>
      </c>
      <c r="D37" s="65">
        <v>0.5</v>
      </c>
      <c r="E37" s="27">
        <f t="shared" si="3"/>
        <v>913380.5</v>
      </c>
      <c r="F37" s="6"/>
      <c r="G37" s="6"/>
    </row>
    <row r="38" spans="2:10" ht="15" customHeight="1" x14ac:dyDescent="0.4">
      <c r="B38" s="5" t="s">
        <v>123</v>
      </c>
      <c r="C38" s="64">
        <v>122504</v>
      </c>
      <c r="D38" s="65">
        <v>0.1</v>
      </c>
      <c r="E38" s="27">
        <f t="shared" si="3"/>
        <v>12250.400000000001</v>
      </c>
      <c r="F38" s="6"/>
      <c r="G38" s="6"/>
    </row>
    <row r="39" spans="2:10" ht="15" customHeight="1" x14ac:dyDescent="0.4">
      <c r="B39" s="5" t="s">
        <v>124</v>
      </c>
      <c r="C39" s="64">
        <v>0</v>
      </c>
      <c r="D39" s="65">
        <v>0.95</v>
      </c>
      <c r="E39" s="27">
        <f t="shared" si="3"/>
        <v>0</v>
      </c>
      <c r="F39" s="6"/>
      <c r="G39" s="6"/>
    </row>
    <row r="40" spans="2:10" ht="15" customHeight="1" x14ac:dyDescent="0.4">
      <c r="B40" s="5" t="s">
        <v>125</v>
      </c>
      <c r="C40" s="64">
        <v>0</v>
      </c>
      <c r="D40" s="65">
        <v>0</v>
      </c>
      <c r="E40" s="27">
        <f t="shared" si="3"/>
        <v>0</v>
      </c>
      <c r="F40" s="6"/>
      <c r="G40" s="6"/>
    </row>
    <row r="41" spans="2:10" ht="15" customHeight="1" x14ac:dyDescent="0.4">
      <c r="C41" s="6"/>
      <c r="D41" s="6"/>
      <c r="E41" s="6"/>
      <c r="I41" s="6"/>
    </row>
    <row r="42" spans="2:10" ht="13.9" x14ac:dyDescent="0.4">
      <c r="B42" s="5" t="s">
        <v>126</v>
      </c>
      <c r="C42" s="67">
        <f>SUM(C28:C40)</f>
        <v>157224999</v>
      </c>
      <c r="D42" s="14">
        <f>E42/C42</f>
        <v>0.54282929777598543</v>
      </c>
      <c r="E42" s="27">
        <f>SUM(E28:E40)</f>
        <v>85346335.800000012</v>
      </c>
      <c r="F42" s="6"/>
      <c r="G42" s="6"/>
      <c r="H42" s="5" t="s">
        <v>127</v>
      </c>
      <c r="I42" s="64">
        <v>67022531</v>
      </c>
      <c r="J42" s="6"/>
    </row>
    <row r="43" spans="2:10" ht="15" customHeight="1" x14ac:dyDescent="0.4">
      <c r="C43" s="6"/>
      <c r="D43" s="6"/>
      <c r="E43" s="6"/>
      <c r="I43" s="6"/>
    </row>
    <row r="44" spans="2:10" ht="15" customHeight="1" x14ac:dyDescent="0.4">
      <c r="B44" s="66" t="s">
        <v>128</v>
      </c>
      <c r="C44" s="70">
        <f>C24+SUM(C28:C29)</f>
        <v>19125790</v>
      </c>
      <c r="D44" s="68">
        <f>IF(E44=0,0,E44/C44)</f>
        <v>0.95441924229012243</v>
      </c>
      <c r="E44" s="27">
        <f>E24+SUM(E28:E29)</f>
        <v>18254022</v>
      </c>
      <c r="F44" s="6"/>
      <c r="G44" s="6"/>
      <c r="H44" s="66" t="s">
        <v>129</v>
      </c>
      <c r="I44" s="69">
        <f>E44/(I46-I15-I32)</f>
        <v>2.990842774169193</v>
      </c>
      <c r="J44" s="13" t="str">
        <f>IF(I44&lt;1,"Liquidity Problem!","")</f>
        <v/>
      </c>
    </row>
    <row r="45" spans="2:10" ht="15" customHeight="1" x14ac:dyDescent="0.4">
      <c r="B45" s="66" t="s">
        <v>130</v>
      </c>
      <c r="C45" s="70">
        <f>C44+(C25-C24)+SUM(C30:C33)</f>
        <v>50968661</v>
      </c>
      <c r="D45" s="68">
        <f>IF(E45=0,0,E45/C45)</f>
        <v>0.60840322055939433</v>
      </c>
      <c r="E45" s="27">
        <f>E44+(E25-E24)+SUM(E30:E33)</f>
        <v>31009497.5</v>
      </c>
      <c r="F45" s="6"/>
      <c r="G45" s="6"/>
      <c r="H45" s="66" t="s">
        <v>131</v>
      </c>
      <c r="I45" s="69">
        <f>E45/$I$46</f>
        <v>0.35605852351263845</v>
      </c>
      <c r="J45" s="13" t="str">
        <f>IF(OR(I45&lt;0.5,C46&lt;I46),"Liquidity Problem!","")</f>
        <v>Liquidity Problem!</v>
      </c>
    </row>
    <row r="46" spans="2:10" ht="15" customHeight="1" x14ac:dyDescent="0.4">
      <c r="B46" s="5" t="s">
        <v>132</v>
      </c>
      <c r="C46" s="70">
        <f>C26+C42</f>
        <v>215190821</v>
      </c>
      <c r="D46" s="14">
        <f>E46/C46</f>
        <v>0.5704263986706013</v>
      </c>
      <c r="E46" s="27">
        <f>E26+E42</f>
        <v>122750525.05000001</v>
      </c>
      <c r="F46" s="6"/>
      <c r="G46" s="6"/>
      <c r="H46" s="5" t="s">
        <v>133</v>
      </c>
      <c r="I46" s="155">
        <f>I26+I42</f>
        <v>87091013</v>
      </c>
      <c r="J46" s="6"/>
    </row>
    <row r="47" spans="2:10" ht="15" customHeight="1" x14ac:dyDescent="0.4">
      <c r="C47" s="6"/>
      <c r="D47" s="6"/>
      <c r="E47" s="6"/>
      <c r="I47" s="6"/>
    </row>
    <row r="48" spans="2:10" ht="13.9" x14ac:dyDescent="0.4">
      <c r="B48" s="21" t="s">
        <v>134</v>
      </c>
      <c r="C48" s="21"/>
      <c r="D48" s="52"/>
    </row>
    <row r="49" spans="2:9" ht="13.9" x14ac:dyDescent="0.4">
      <c r="B49" s="216" t="s">
        <v>210</v>
      </c>
      <c r="C49" s="6"/>
      <c r="D49" s="217" t="str">
        <f>IF(E50=D4,"BV of the MI","P/B Approach")</f>
        <v>BV of the MI</v>
      </c>
      <c r="E49" s="6"/>
    </row>
    <row r="50" spans="2:9" ht="13.9" x14ac:dyDescent="0.4">
      <c r="B50" s="5" t="s">
        <v>209</v>
      </c>
      <c r="C50" s="218">
        <f>D4</f>
        <v>14520788</v>
      </c>
      <c r="D50" s="214">
        <f>IF(E50=0, 0,E50/C50)</f>
        <v>1</v>
      </c>
      <c r="E50" s="218">
        <f>MAX(C50,C50*Dashboard!I10)</f>
        <v>14520788</v>
      </c>
      <c r="I50" s="157"/>
    </row>
    <row r="51" spans="2:9" ht="15" customHeight="1" x14ac:dyDescent="0.4">
      <c r="C51" s="6"/>
      <c r="D51" s="6"/>
      <c r="E51" s="6"/>
    </row>
    <row r="52" spans="2:9" ht="14.25" thickBot="1" x14ac:dyDescent="0.45">
      <c r="B52" s="75" t="s">
        <v>266</v>
      </c>
      <c r="C52" s="5"/>
      <c r="D52" s="438">
        <f>D53+D54+D55</f>
        <v>6103303.7770000007</v>
      </c>
      <c r="E52" s="439"/>
      <c r="F52" s="53"/>
      <c r="G52" s="53"/>
    </row>
    <row r="53" spans="2:9" ht="14.25" thickTop="1" x14ac:dyDescent="0.4">
      <c r="B53" s="58" t="s">
        <v>236</v>
      </c>
      <c r="C53" s="6"/>
      <c r="D53" s="441">
        <f>SUM(I11:I13)+SUM(I28:I30)</f>
        <v>6103303.7770000007</v>
      </c>
      <c r="E53" s="419"/>
      <c r="F53" s="5"/>
      <c r="G53" s="5"/>
      <c r="H53" s="3" t="s">
        <v>273</v>
      </c>
      <c r="I53" s="14">
        <f>D53/I3</f>
        <v>5.3736189808646001E-2</v>
      </c>
    </row>
    <row r="54" spans="2:9" ht="13.9" x14ac:dyDescent="0.4">
      <c r="B54" s="58" t="s">
        <v>136</v>
      </c>
      <c r="C54" s="6"/>
      <c r="D54" s="446">
        <v>0</v>
      </c>
      <c r="E54" s="403"/>
      <c r="F54" s="6" t="s">
        <v>137</v>
      </c>
      <c r="G54" s="6"/>
    </row>
    <row r="55" spans="2:9" ht="12.75" customHeight="1" x14ac:dyDescent="0.4">
      <c r="B55" s="58" t="s">
        <v>135</v>
      </c>
      <c r="C55" s="6"/>
      <c r="D55" s="446">
        <v>0</v>
      </c>
      <c r="E55" s="403"/>
      <c r="F55" s="5" t="s">
        <v>138</v>
      </c>
      <c r="G55" s="5"/>
    </row>
    <row r="56" spans="2:9" ht="15" customHeight="1" x14ac:dyDescent="0.4">
      <c r="D56" s="6"/>
      <c r="E56" s="6"/>
    </row>
    <row r="57" spans="2:9" ht="13.9" x14ac:dyDescent="0.4">
      <c r="B57" s="75" t="s">
        <v>139</v>
      </c>
      <c r="C57" s="5"/>
      <c r="D57" s="440"/>
      <c r="E57" s="440"/>
      <c r="F57" s="19"/>
      <c r="G57" s="19"/>
    </row>
    <row r="58" spans="2:9" ht="15" customHeight="1" x14ac:dyDescent="0.4">
      <c r="B58" s="53" t="s">
        <v>237</v>
      </c>
      <c r="C58" s="213">
        <f>C14+C15+(C19*G19)+(C20*G20)+C29+C30+(C33*G33)+(C34*G34)+(C35*G35)</f>
        <v>30297402</v>
      </c>
      <c r="D58" s="129">
        <f>IF(E58=0,0,E58/C58)</f>
        <v>0.40635274272031641</v>
      </c>
      <c r="E58" s="221">
        <f>E14+E15+(E19*G19)+(E20*G20)+E29+E30+(E33*G33)+(E34*G34)+(E35*G35)</f>
        <v>12311432.4</v>
      </c>
      <c r="H58" s="6"/>
    </row>
    <row r="59" spans="2:9" ht="13.9" x14ac:dyDescent="0.4">
      <c r="B59" s="53" t="s">
        <v>91</v>
      </c>
      <c r="C59" s="213">
        <f>C11+C12+C28</f>
        <v>16946370</v>
      </c>
      <c r="D59" s="214">
        <f>IF(E59=0,0,E59/C59)</f>
        <v>1</v>
      </c>
      <c r="E59" s="215">
        <f>E11+E12+E28</f>
        <v>16946370</v>
      </c>
      <c r="F59" s="6"/>
      <c r="G59" s="6"/>
    </row>
    <row r="60" spans="2:9" ht="13.9" x14ac:dyDescent="0.4">
      <c r="B60" s="53" t="s">
        <v>140</v>
      </c>
      <c r="C60" s="6"/>
      <c r="D60" s="444">
        <f>((Dashboard!I6*Data!C4)+D52+E50-C58-C59)</f>
        <v>2261387.821800001</v>
      </c>
      <c r="E60" s="445"/>
      <c r="F60" s="6"/>
      <c r="G60" s="6"/>
    </row>
    <row r="61" spans="2:9" ht="15" customHeight="1" x14ac:dyDescent="0.4">
      <c r="D61" s="6"/>
      <c r="E61" s="6"/>
    </row>
    <row r="62" spans="2:9" ht="15" customHeight="1" x14ac:dyDescent="0.4">
      <c r="B62" s="291" t="s">
        <v>265</v>
      </c>
    </row>
    <row r="63" spans="2:9" ht="15" customHeight="1" x14ac:dyDescent="0.4">
      <c r="B63" s="3" t="s">
        <v>268</v>
      </c>
      <c r="D63" s="436">
        <f>((C26-C11-C12-C14-C15-C16*G16-C19*G19-C20*G20)-I26)/Data!C7</f>
        <v>1.3669532590180158</v>
      </c>
      <c r="E63" s="437"/>
    </row>
    <row r="64" spans="2:9" ht="15" customHeight="1" x14ac:dyDescent="0.4">
      <c r="B64" s="3" t="s">
        <v>267</v>
      </c>
      <c r="D64" s="442">
        <v>6.9000000000000006E-2</v>
      </c>
      <c r="E64" s="443"/>
      <c r="F64" s="266" t="s">
        <v>252</v>
      </c>
    </row>
    <row r="65" spans="2:5" ht="15" customHeight="1" x14ac:dyDescent="0.4">
      <c r="B65" s="291" t="s">
        <v>269</v>
      </c>
      <c r="D65" s="442">
        <v>0.15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0" type="noConversion"/>
  <dataValidations count="3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  <dataValidation type="list" allowBlank="1" showInputMessage="1" showErrorMessage="1" sqref="E9" xr:uid="{F532338E-C6AC-41CD-B3CC-9DDE086C6053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6"/>
  <sheetViews>
    <sheetView showGridLines="0" zoomScaleNormal="100" zoomScalePageLayoutView="80" workbookViewId="0">
      <selection activeCell="C4" sqref="C4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3" width="22.6640625" style="3" customWidth="1"/>
    <col min="4" max="4" width="6.796875" style="3" customWidth="1"/>
    <col min="5" max="5" width="22.6640625" style="3" customWidth="1"/>
    <col min="6" max="6" width="6.796875" style="3" customWidth="1"/>
    <col min="7" max="7" width="22.6640625" style="3" customWidth="1"/>
    <col min="8" max="8" width="6.796875" style="3" customWidth="1"/>
    <col min="9" max="9" width="22.6640625" style="3" customWidth="1"/>
    <col min="10" max="10" width="6.796875" style="3" customWidth="1"/>
    <col min="11" max="11" width="2.46484375" style="3" customWidth="1"/>
    <col min="12" max="12" width="87.46484375" style="3" customWidth="1"/>
    <col min="13" max="16384" width="12.46484375" style="3"/>
  </cols>
  <sheetData>
    <row r="1" spans="1:13" ht="15" customHeight="1" x14ac:dyDescent="0.4">
      <c r="C1" s="6"/>
      <c r="D1" s="6"/>
      <c r="E1" s="6"/>
      <c r="F1" s="6"/>
      <c r="G1" s="6"/>
      <c r="H1" s="6"/>
    </row>
    <row r="2" spans="1:13" ht="15.5" customHeight="1" x14ac:dyDescent="0.4">
      <c r="A2" s="4"/>
      <c r="B2" s="92" t="s">
        <v>249</v>
      </c>
      <c r="C2" s="285" t="s">
        <v>263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4">
      <c r="B3" s="29" t="str">
        <f>'FCFF Model'!B3</f>
        <v>(Numbers in 1000HKD)</v>
      </c>
      <c r="C3" s="277">
        <f>Dashboard!E6</f>
        <v>44561</v>
      </c>
      <c r="D3" s="28" t="s">
        <v>251</v>
      </c>
      <c r="E3" s="277">
        <f>EOMONTH(EDATE(C3,12),0)</f>
        <v>44926</v>
      </c>
      <c r="F3" s="28" t="s">
        <v>251</v>
      </c>
      <c r="G3" s="277">
        <f>IF(G12="","",EOMONTH(EDATE(E3,12),0))</f>
        <v>45291</v>
      </c>
      <c r="H3" s="28"/>
      <c r="I3" s="277" t="str">
        <f>IF(I19="","",EOMONTH(EDATE(G3,12),0))</f>
        <v/>
      </c>
      <c r="J3" s="294"/>
      <c r="L3" s="72" t="s">
        <v>141</v>
      </c>
    </row>
    <row r="4" spans="1:13" ht="15.75" customHeight="1" x14ac:dyDescent="0.4">
      <c r="B4" s="17" t="s">
        <v>317</v>
      </c>
      <c r="C4" s="346">
        <v>4053111</v>
      </c>
      <c r="D4" s="260"/>
      <c r="E4" s="222">
        <f>1882783*1.5</f>
        <v>2824174.5</v>
      </c>
      <c r="F4" s="260"/>
      <c r="G4" s="222">
        <f>C4</f>
        <v>4053111</v>
      </c>
      <c r="H4" s="260"/>
      <c r="I4" s="222"/>
      <c r="J4" s="286"/>
      <c r="K4" s="6"/>
      <c r="L4" s="74"/>
      <c r="M4" s="57"/>
    </row>
    <row r="5" spans="1:13" ht="15.75" customHeight="1" x14ac:dyDescent="0.4">
      <c r="B5" s="17" t="s">
        <v>318</v>
      </c>
      <c r="C5" s="346">
        <v>1291010</v>
      </c>
      <c r="D5" s="260"/>
      <c r="E5" s="222">
        <f>619537*1.8</f>
        <v>1115166.6000000001</v>
      </c>
      <c r="F5" s="260"/>
      <c r="G5" s="222">
        <f>C5*1.04</f>
        <v>1342650.4000000001</v>
      </c>
      <c r="H5" s="260"/>
      <c r="I5" s="222"/>
      <c r="J5" s="286"/>
      <c r="K5" s="6"/>
      <c r="L5" s="74"/>
      <c r="M5" s="57"/>
    </row>
    <row r="6" spans="1:13" ht="15.75" customHeight="1" x14ac:dyDescent="0.4">
      <c r="B6" s="347" t="s">
        <v>319</v>
      </c>
      <c r="C6" s="346">
        <f>C4+C5</f>
        <v>5344121</v>
      </c>
      <c r="D6" s="260">
        <f>C6/C$11</f>
        <v>0.34867901665348278</v>
      </c>
      <c r="E6" s="222">
        <f>E4+E5</f>
        <v>3939341.1</v>
      </c>
      <c r="F6" s="260">
        <f>E6/E11</f>
        <v>0.54084868327105462</v>
      </c>
      <c r="G6" s="222">
        <f>G4+G5</f>
        <v>5395761.4000000004</v>
      </c>
      <c r="H6" s="260">
        <f>G6/G11</f>
        <v>0.44966633382626964</v>
      </c>
      <c r="I6" s="222"/>
      <c r="J6" s="286"/>
      <c r="K6" s="6"/>
      <c r="L6" s="74"/>
      <c r="M6" s="57"/>
    </row>
    <row r="7" spans="1:13" ht="15.75" customHeight="1" x14ac:dyDescent="0.4">
      <c r="B7" s="17" t="s">
        <v>317</v>
      </c>
      <c r="C7" s="346">
        <v>4584914</v>
      </c>
      <c r="D7" s="260"/>
      <c r="E7" s="222">
        <f>355693*1.5</f>
        <v>533539.5</v>
      </c>
      <c r="F7" s="260"/>
      <c r="G7" s="222">
        <f>C7/3</f>
        <v>1528304.6666666667</v>
      </c>
      <c r="H7" s="260"/>
      <c r="I7" s="222"/>
      <c r="J7" s="286"/>
      <c r="K7" s="6"/>
      <c r="L7" s="74"/>
      <c r="M7" s="57"/>
    </row>
    <row r="8" spans="1:13" ht="15.75" customHeight="1" x14ac:dyDescent="0.4">
      <c r="B8" s="17" t="s">
        <v>318</v>
      </c>
      <c r="C8" s="346">
        <v>3786145</v>
      </c>
      <c r="D8" s="260"/>
      <c r="E8" s="222">
        <f>1358253*1.6</f>
        <v>2173204.8000000003</v>
      </c>
      <c r="F8" s="260"/>
      <c r="G8" s="346">
        <f>C8</f>
        <v>3786145</v>
      </c>
      <c r="H8" s="260"/>
      <c r="I8" s="222"/>
      <c r="J8" s="286"/>
      <c r="K8" s="6"/>
      <c r="L8" s="74"/>
      <c r="M8" s="57"/>
    </row>
    <row r="9" spans="1:13" ht="15.75" customHeight="1" x14ac:dyDescent="0.4">
      <c r="B9" s="347" t="s">
        <v>320</v>
      </c>
      <c r="C9" s="346">
        <f>C7+C8</f>
        <v>8371059</v>
      </c>
      <c r="D9" s="260">
        <f>C9/C$11</f>
        <v>0.54617262978669212</v>
      </c>
      <c r="E9" s="222">
        <f>E7+E8</f>
        <v>2706744.3000000003</v>
      </c>
      <c r="F9" s="260">
        <f>E9/E11</f>
        <v>0.37162029218704429</v>
      </c>
      <c r="G9" s="222">
        <f>G7+G8</f>
        <v>5314449.666666667</v>
      </c>
      <c r="H9" s="260">
        <f>G9/G11</f>
        <v>0.4428900614312265</v>
      </c>
      <c r="I9" s="222"/>
      <c r="J9" s="286"/>
      <c r="K9" s="6"/>
      <c r="L9" s="74"/>
      <c r="M9" s="57"/>
    </row>
    <row r="10" spans="1:13" ht="15.75" customHeight="1" x14ac:dyDescent="0.4">
      <c r="B10" s="347" t="s">
        <v>321</v>
      </c>
      <c r="C10" s="346">
        <v>1611584</v>
      </c>
      <c r="D10" s="260">
        <f>C10/C$11</f>
        <v>0.10514835355982516</v>
      </c>
      <c r="E10" s="222">
        <f>425029*1.5</f>
        <v>637543.5</v>
      </c>
      <c r="F10" s="260">
        <f>E10/E11</f>
        <v>8.7531024541901079E-2</v>
      </c>
      <c r="G10" s="222">
        <f>C10*0.8</f>
        <v>1289267.2000000002</v>
      </c>
      <c r="H10" s="260">
        <f>G10/G11</f>
        <v>0.107443604742504</v>
      </c>
      <c r="I10" s="222"/>
      <c r="J10" s="286"/>
      <c r="K10" s="6"/>
      <c r="L10" s="74"/>
      <c r="M10" s="57"/>
    </row>
    <row r="11" spans="1:13" ht="15.75" customHeight="1" x14ac:dyDescent="0.4">
      <c r="B11" s="5" t="s">
        <v>143</v>
      </c>
      <c r="C11" s="180">
        <f>C6+C9+C10</f>
        <v>15326764</v>
      </c>
      <c r="D11" s="259"/>
      <c r="E11" s="180">
        <f>E6+E9+E10</f>
        <v>7283628.9000000004</v>
      </c>
      <c r="F11" s="259"/>
      <c r="G11" s="180">
        <f>G6+G9+G10</f>
        <v>11999478.266666666</v>
      </c>
      <c r="H11" s="259"/>
      <c r="I11" s="228"/>
      <c r="J11" s="287"/>
      <c r="K11" s="6"/>
      <c r="L11" s="74" t="s">
        <v>270</v>
      </c>
      <c r="M11" s="57"/>
    </row>
    <row r="12" spans="1:13" ht="15.75" customHeight="1" x14ac:dyDescent="0.4">
      <c r="B12" s="17" t="s">
        <v>142</v>
      </c>
      <c r="C12" s="187"/>
      <c r="D12" s="261"/>
      <c r="E12" s="18">
        <f>E11/C11-1</f>
        <v>-0.52477712190257508</v>
      </c>
      <c r="F12" s="261"/>
      <c r="G12" s="73">
        <f>G11/E11-1</f>
        <v>0.64745876422488591</v>
      </c>
      <c r="H12" s="261"/>
      <c r="I12" s="73"/>
      <c r="J12" s="325"/>
      <c r="K12" s="6"/>
      <c r="L12" s="74"/>
      <c r="M12" s="57"/>
    </row>
    <row r="13" spans="1:13" ht="15.75" customHeight="1" x14ac:dyDescent="0.4">
      <c r="B13" s="8" t="s">
        <v>144</v>
      </c>
      <c r="C13" s="181">
        <f>Data!C9</f>
        <v>6583757</v>
      </c>
      <c r="D13" s="262"/>
      <c r="E13" s="227">
        <f>2094072*1.8</f>
        <v>3769329.6</v>
      </c>
      <c r="F13" s="262"/>
      <c r="G13" s="281">
        <f>IF(G11="","",G11*(1-G14))</f>
        <v>5519760.0026666662</v>
      </c>
      <c r="H13" s="262"/>
      <c r="I13" s="281" t="str">
        <f>IF(I11="","",I11*(1-I14))</f>
        <v/>
      </c>
      <c r="J13" s="326"/>
      <c r="K13" s="6"/>
      <c r="L13" s="116"/>
      <c r="M13" s="1"/>
    </row>
    <row r="14" spans="1:13" ht="15.75" customHeight="1" x14ac:dyDescent="0.4">
      <c r="B14" s="17" t="s">
        <v>48</v>
      </c>
      <c r="C14" s="186">
        <f>(C11-C13)/C11</f>
        <v>0.57044050524950995</v>
      </c>
      <c r="D14" s="186"/>
      <c r="E14" s="73">
        <f>(E11-E13)/E11</f>
        <v>0.4824929095440324</v>
      </c>
      <c r="F14" s="186"/>
      <c r="G14" s="73">
        <v>0.54</v>
      </c>
      <c r="H14" s="186"/>
      <c r="I14" s="73"/>
      <c r="J14" s="327"/>
      <c r="K14" s="6"/>
      <c r="L14" s="74"/>
    </row>
    <row r="15" spans="1:13" ht="15.75" customHeight="1" x14ac:dyDescent="0.4">
      <c r="B15" s="5" t="s">
        <v>145</v>
      </c>
      <c r="C15" s="27">
        <f>C11-C13</f>
        <v>8743007</v>
      </c>
      <c r="D15" s="27"/>
      <c r="E15" s="27">
        <f>E11-E13</f>
        <v>3514299.3000000003</v>
      </c>
      <c r="F15" s="27"/>
      <c r="G15" s="27">
        <f>IF(G12="","",G11-G13)</f>
        <v>6479718.2639999995</v>
      </c>
      <c r="H15" s="27"/>
      <c r="I15" s="27" t="str">
        <f>IF(I12="","",I11-I13)</f>
        <v/>
      </c>
      <c r="J15" s="242"/>
      <c r="K15" s="6"/>
      <c r="L15" s="74"/>
    </row>
    <row r="16" spans="1:13" ht="15.75" customHeight="1" x14ac:dyDescent="0.4">
      <c r="B16" s="17" t="s">
        <v>50</v>
      </c>
      <c r="C16" s="189">
        <f>C17/C11</f>
        <v>0.13070880454608683</v>
      </c>
      <c r="D16" s="189"/>
      <c r="E16" s="226">
        <f>E17/E11</f>
        <v>0.2318067028373727</v>
      </c>
      <c r="F16" s="189"/>
      <c r="G16" s="65">
        <f>G17/G11</f>
        <v>0.17363060907303671</v>
      </c>
      <c r="H16" s="189"/>
      <c r="I16" s="65"/>
      <c r="J16" s="328"/>
      <c r="K16" s="6"/>
      <c r="L16" s="74"/>
    </row>
    <row r="17" spans="2:13" ht="15.75" customHeight="1" x14ac:dyDescent="0.4">
      <c r="B17" s="8" t="s">
        <v>146</v>
      </c>
      <c r="C17" s="183">
        <v>2003343</v>
      </c>
      <c r="D17" s="263"/>
      <c r="E17" s="76">
        <f>844197*2</f>
        <v>1688394</v>
      </c>
      <c r="F17" s="263"/>
      <c r="G17" s="76">
        <f>C17*1.04</f>
        <v>2083476.72</v>
      </c>
      <c r="H17" s="263"/>
      <c r="I17" s="76"/>
      <c r="J17" s="329"/>
      <c r="K17" s="6"/>
      <c r="L17" s="74"/>
    </row>
    <row r="18" spans="2:13" ht="15.75" customHeight="1" x14ac:dyDescent="0.4">
      <c r="B18" s="17" t="s">
        <v>51</v>
      </c>
      <c r="C18" s="18">
        <f>C20/C11</f>
        <v>0.4397317007034231</v>
      </c>
      <c r="D18" s="18"/>
      <c r="E18" s="18">
        <f>E20/E11</f>
        <v>0.25068620670665964</v>
      </c>
      <c r="F18" s="18"/>
      <c r="G18" s="18">
        <f>IF(G12="","",G20/G11)</f>
        <v>0.3663693909269633</v>
      </c>
      <c r="H18" s="18"/>
      <c r="I18" s="18" t="str">
        <f>IF(I12="","",I20/I11)</f>
        <v/>
      </c>
      <c r="J18" s="231"/>
      <c r="K18" s="6"/>
      <c r="L18" s="74"/>
      <c r="M18" s="57"/>
    </row>
    <row r="19" spans="2:13" ht="15.75" customHeight="1" x14ac:dyDescent="0.4">
      <c r="B19" s="17" t="s">
        <v>147</v>
      </c>
      <c r="C19" s="188"/>
      <c r="D19" s="264"/>
      <c r="E19" s="14">
        <f>IF(ABS(C20+E20)=ABS(C20)+ABS(E20),IF(E20&lt;0,-1,1)*(E20-C20)/C20,"Turn")</f>
        <v>-0.72908066336838151</v>
      </c>
      <c r="F19" s="264"/>
      <c r="G19" s="14">
        <f>IF(G12="","",IF(ABS(E20+G20)=ABS(E20)+ABS(G20),IF(G20&lt;0,-1,1)*(G20-E20)/E20,"Turn"))</f>
        <v>1.407705122494578</v>
      </c>
      <c r="H19" s="264"/>
      <c r="I19" s="14" t="str">
        <f>IF(I12="","",IF(ABS(G20+I20)=ABS(G20)+ABS(I20),IF(I20&lt;0,-1,1)*(I20-G20)/G20,"Turn"))</f>
        <v/>
      </c>
      <c r="J19" s="330"/>
      <c r="K19" s="6"/>
      <c r="L19" s="77"/>
      <c r="M19" s="78"/>
    </row>
    <row r="20" spans="2:13" ht="15.75" customHeight="1" x14ac:dyDescent="0.4">
      <c r="B20" s="134" t="s">
        <v>247</v>
      </c>
      <c r="C20" s="317">
        <f>C15-C17</f>
        <v>6739664</v>
      </c>
      <c r="D20" s="318"/>
      <c r="E20" s="317">
        <f>E15-E17</f>
        <v>1825905.3000000003</v>
      </c>
      <c r="F20" s="318"/>
      <c r="G20" s="317">
        <f>IF(G12="","",G15-G17)</f>
        <v>4396241.5439999998</v>
      </c>
      <c r="H20" s="318"/>
      <c r="I20" s="317" t="str">
        <f>IF(I12="","",I15-I17)</f>
        <v/>
      </c>
      <c r="J20" s="331"/>
      <c r="K20" s="6"/>
      <c r="L20" s="79"/>
      <c r="M20" s="56"/>
    </row>
    <row r="21" spans="2:13" ht="15.75" customHeight="1" x14ac:dyDescent="0.4">
      <c r="B21" s="313" t="s">
        <v>148</v>
      </c>
      <c r="C21" s="314">
        <v>0.25</v>
      </c>
      <c r="D21" s="315"/>
      <c r="E21" s="316">
        <f>IF(E20="","",C21)</f>
        <v>0.25</v>
      </c>
      <c r="F21" s="316"/>
      <c r="G21" s="316">
        <f>IF(G20="","",E21)</f>
        <v>0.25</v>
      </c>
      <c r="H21" s="316"/>
      <c r="I21" s="316" t="str">
        <f>IF(I20="","",G21)</f>
        <v/>
      </c>
      <c r="J21" s="332"/>
    </row>
    <row r="22" spans="2:13" ht="15.75" customHeight="1" x14ac:dyDescent="0.4">
      <c r="B22" s="322" t="s">
        <v>307</v>
      </c>
      <c r="C22" s="264">
        <f>C23/C13</f>
        <v>0.76776041400069894</v>
      </c>
      <c r="D22" s="324"/>
      <c r="E22" s="323">
        <f>E23/E13</f>
        <v>0.36330836523290511</v>
      </c>
      <c r="F22" s="323"/>
      <c r="G22" s="323">
        <f>IF(G13="","",G23/G13)</f>
        <v>0.59734139825048371</v>
      </c>
      <c r="H22" s="323"/>
      <c r="I22" s="323" t="str">
        <f>IF(I13="","",I23/I13)</f>
        <v/>
      </c>
      <c r="J22" s="333"/>
    </row>
    <row r="23" spans="2:13" ht="15.75" customHeight="1" x14ac:dyDescent="0.4">
      <c r="B23" s="319" t="s">
        <v>80</v>
      </c>
      <c r="C23" s="320">
        <f>IF(C20&lt;=0,C20,C20*(1-C21))</f>
        <v>5054748</v>
      </c>
      <c r="D23" s="320"/>
      <c r="E23" s="321">
        <f>IF(E20="","",IF(E20&lt;=0,E20,E20*(1-E21)))</f>
        <v>1369428.9750000001</v>
      </c>
      <c r="F23" s="320"/>
      <c r="G23" s="321">
        <f>IF(G20="","",IF(G20&lt;=0,G20,G20*(1-G21)))</f>
        <v>3297181.1579999998</v>
      </c>
      <c r="H23" s="320"/>
      <c r="I23" s="321" t="str">
        <f>IF(I20="","",IF(I20&lt;=0,I20,I20*(1-I21)))</f>
        <v/>
      </c>
      <c r="J23" s="334"/>
    </row>
    <row r="24" spans="2:13" ht="15.75" customHeight="1" x14ac:dyDescent="0.4"/>
    <row r="25" spans="2:13" ht="15.75" customHeight="1" x14ac:dyDescent="0.4"/>
    <row r="26" spans="2:13" ht="15.75" customHeight="1" x14ac:dyDescent="0.4"/>
    <row r="27" spans="2:13" ht="15.75" customHeight="1" x14ac:dyDescent="0.4"/>
    <row r="28" spans="2:13" ht="15.75" customHeight="1" x14ac:dyDescent="0.4"/>
    <row r="29" spans="2:13" ht="15.75" customHeight="1" x14ac:dyDescent="0.4"/>
    <row r="30" spans="2:13" ht="15.75" customHeight="1" x14ac:dyDescent="0.4"/>
    <row r="31" spans="2:13" ht="15.75" customHeight="1" x14ac:dyDescent="0.4"/>
    <row r="32" spans="2:13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</sheetData>
  <phoneticPr fontId="30" type="noConversion"/>
  <conditionalFormatting sqref="E21:E23">
    <cfRule type="containsBlanks" dxfId="10" priority="6">
      <formula>LEN(TRIM(E21))=0</formula>
    </cfRule>
  </conditionalFormatting>
  <conditionalFormatting sqref="G14:G16">
    <cfRule type="containsBlanks" dxfId="9" priority="1">
      <formula>LEN(TRIM(G14))=0</formula>
    </cfRule>
    <cfRule type="containsBlanks" priority="2">
      <formula>LEN(TRIM(G14))=0</formula>
    </cfRule>
  </conditionalFormatting>
  <conditionalFormatting sqref="G23 I23">
    <cfRule type="containsBlanks" dxfId="8" priority="8">
      <formula>LEN(TRIM(G23))=0</formula>
    </cfRule>
  </conditionalFormatting>
  <conditionalFormatting sqref="G18:H20 G12:I13 H14:H17">
    <cfRule type="containsBlanks" priority="15">
      <formula>LEN(TRIM(G12))=0</formula>
    </cfRule>
  </conditionalFormatting>
  <conditionalFormatting sqref="G18:H20">
    <cfRule type="containsBlanks" dxfId="7" priority="14">
      <formula>LEN(TRIM(G18))=0</formula>
    </cfRule>
  </conditionalFormatting>
  <conditionalFormatting sqref="G12:J23">
    <cfRule type="containsBlanks" dxfId="6" priority="5">
      <formula>LEN(TRIM(G12))=0</formula>
    </cfRule>
  </conditionalFormatting>
  <conditionalFormatting sqref="H14:J17">
    <cfRule type="containsBlanks" dxfId="5" priority="7">
      <formula>LEN(TRIM(H14))=0</formula>
    </cfRule>
  </conditionalFormatting>
  <conditionalFormatting sqref="I12 I14:I20">
    <cfRule type="containsBlanks" dxfId="4" priority="12">
      <formula>LEN(TRIM(I12))=0</formula>
    </cfRule>
    <cfRule type="containsBlanks" priority="13">
      <formula>LEN(TRIM(I12))=0</formula>
    </cfRule>
  </conditionalFormatting>
  <conditionalFormatting sqref="J12:J20">
    <cfRule type="containsBlanks" priority="11">
      <formula>LEN(TRIM(J12))=0</formula>
    </cfRule>
    <cfRule type="containsBlanks" dxfId="3" priority="10">
      <formula>LEN(TRIM(J12))=0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zoomScaleNormal="100" zoomScalePageLayoutView="80" workbookViewId="0">
      <selection activeCell="G19" sqref="G19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7" width="22.6640625" style="3" customWidth="1"/>
    <col min="8" max="8" width="2.46484375" style="3" customWidth="1"/>
    <col min="9" max="9" width="49.46484375" style="3" customWidth="1"/>
    <col min="10" max="16384" width="12.46484375" style="3"/>
  </cols>
  <sheetData>
    <row r="1" spans="1:10" ht="15" customHeight="1" x14ac:dyDescent="0.4">
      <c r="C1" s="6"/>
      <c r="D1" s="6"/>
      <c r="E1" s="6"/>
    </row>
    <row r="2" spans="1:10" ht="15.75" customHeight="1" x14ac:dyDescent="0.4">
      <c r="A2" s="4"/>
      <c r="B2" s="92" t="s">
        <v>225</v>
      </c>
      <c r="C2" s="285" t="s">
        <v>263</v>
      </c>
      <c r="D2" s="285">
        <v>1</v>
      </c>
      <c r="E2" s="285">
        <v>2</v>
      </c>
      <c r="F2" s="285">
        <v>3</v>
      </c>
      <c r="G2" s="285" t="str">
        <f>B24</f>
        <v>Exit after Year 2</v>
      </c>
      <c r="H2" s="12"/>
      <c r="I2" s="12"/>
    </row>
    <row r="3" spans="1:10" ht="15.75" customHeight="1" x14ac:dyDescent="0.4">
      <c r="B3" s="29" t="str">
        <f>"(Numbers in "&amp;Data!C4&amp;Dashboard!I11&amp;")"</f>
        <v>(Numbers in 1000HKD)</v>
      </c>
      <c r="C3" s="277">
        <f>Operation!C3</f>
        <v>44561</v>
      </c>
      <c r="D3" s="277">
        <f>Operation!E3</f>
        <v>44926</v>
      </c>
      <c r="E3" s="277">
        <f>Operation!G3</f>
        <v>45291</v>
      </c>
      <c r="F3" s="277" t="str">
        <f>Operation!I3</f>
        <v/>
      </c>
      <c r="G3" s="28" t="s">
        <v>261</v>
      </c>
      <c r="I3" s="72" t="s">
        <v>141</v>
      </c>
    </row>
    <row r="4" spans="1:10" ht="15.75" customHeight="1" x14ac:dyDescent="0.4">
      <c r="B4" s="5" t="s">
        <v>80</v>
      </c>
      <c r="C4" s="182">
        <f>Operation!C23</f>
        <v>5054748</v>
      </c>
      <c r="D4" s="45">
        <f>Operation!E23</f>
        <v>1369428.9750000001</v>
      </c>
      <c r="E4" s="45">
        <f>Operation!G23</f>
        <v>3297181.1579999998</v>
      </c>
      <c r="F4" s="201" t="str">
        <f>Operation!I23</f>
        <v/>
      </c>
      <c r="G4" s="301">
        <f>IF(F3="",IF(E3="",1,2),3)</f>
        <v>2</v>
      </c>
      <c r="H4" s="6"/>
      <c r="I4" s="79"/>
      <c r="J4" s="56"/>
    </row>
    <row r="5" spans="1:10" ht="15.75" customHeight="1" x14ac:dyDescent="0.4">
      <c r="B5" s="17" t="s">
        <v>279</v>
      </c>
      <c r="C5" s="257"/>
      <c r="D5" s="258">
        <f>D4/C4-1</f>
        <v>-0.72908066336838151</v>
      </c>
      <c r="E5" s="258">
        <f>IF(E4="","",E4/D4-1)</f>
        <v>1.407705122494578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4">
      <c r="B6" s="17" t="s">
        <v>68</v>
      </c>
      <c r="C6" s="65">
        <v>0.3</v>
      </c>
      <c r="D6" s="226">
        <v>0.3</v>
      </c>
      <c r="E6" s="65">
        <v>0.3</v>
      </c>
      <c r="F6" s="306"/>
      <c r="G6" s="199"/>
      <c r="H6" s="6"/>
      <c r="I6" s="77"/>
    </row>
    <row r="7" spans="1:10" ht="15" customHeight="1" thickBot="1" x14ac:dyDescent="0.45">
      <c r="B7" s="81" t="s">
        <v>271</v>
      </c>
      <c r="C7" s="307">
        <f>C4*C6</f>
        <v>1516424.4</v>
      </c>
      <c r="D7" s="307">
        <f>D4*D6</f>
        <v>410828.6925</v>
      </c>
      <c r="E7" s="308">
        <f>E4*E6</f>
        <v>989154.34739999985</v>
      </c>
      <c r="F7" s="308"/>
      <c r="G7" s="200"/>
      <c r="H7" s="82"/>
      <c r="I7" s="56"/>
      <c r="J7" s="56"/>
    </row>
    <row r="8" spans="1:10" ht="15.75" customHeight="1" thickTop="1" x14ac:dyDescent="0.4">
      <c r="B8" s="17" t="s">
        <v>149</v>
      </c>
      <c r="C8" s="192">
        <f>IF(C4="","",C4-C7)</f>
        <v>3538323.6</v>
      </c>
      <c r="D8" s="191">
        <f>D4-D7</f>
        <v>958600.28250000009</v>
      </c>
      <c r="E8" s="191">
        <f>IF(E4="","",E4-E7)</f>
        <v>2308026.8106</v>
      </c>
      <c r="F8" s="191" t="str">
        <f>IF(F4="","",F4-F7)</f>
        <v/>
      </c>
      <c r="G8" s="229">
        <f>IF(F4="",IF(E4="",D8,E8),F8)</f>
        <v>2308026.8106</v>
      </c>
      <c r="H8" s="82"/>
      <c r="I8" s="56"/>
      <c r="J8" s="56"/>
    </row>
    <row r="9" spans="1:10" ht="15.75" customHeight="1" x14ac:dyDescent="0.4">
      <c r="B9" s="203" t="s">
        <v>218</v>
      </c>
      <c r="C9" s="193">
        <f>C8/(Common_Shares/Data!$C$4)</f>
        <v>2.438020627588172</v>
      </c>
      <c r="D9" s="303">
        <f>D8/(Common_Shares/Data!$C$4)</f>
        <v>0.66050693112038972</v>
      </c>
      <c r="E9" s="303">
        <f>IF(E8="","",E8/(Common_Shares/Data!$C$4))</f>
        <v>1.5903059215017357</v>
      </c>
      <c r="F9" s="303" t="str">
        <f>IF(F8="","",F8/(Common_Shares/Data!$C$4))</f>
        <v/>
      </c>
      <c r="G9" s="304">
        <f>G8*Data!C$4/Dashboard!I5</f>
        <v>1.5903059215017357</v>
      </c>
      <c r="H9" s="82"/>
      <c r="I9" s="56"/>
      <c r="J9" s="56"/>
    </row>
    <row r="10" spans="1:10" ht="15.75" customHeight="1" x14ac:dyDescent="0.4">
      <c r="B10" s="234" t="s">
        <v>248</v>
      </c>
      <c r="C10" s="309">
        <f>C11/C9</f>
        <v>0.55372788266172157</v>
      </c>
      <c r="D10" s="309">
        <f>D11/D9</f>
        <v>2.0438846837080917</v>
      </c>
      <c r="E10" s="340"/>
      <c r="F10" s="340"/>
      <c r="G10" s="235"/>
      <c r="H10" s="82"/>
      <c r="I10" s="56"/>
      <c r="J10" s="56"/>
    </row>
    <row r="11" spans="1:10" ht="15.75" customHeight="1" x14ac:dyDescent="0.4">
      <c r="B11" s="234" t="s">
        <v>262</v>
      </c>
      <c r="C11" s="283">
        <f>0.4+0.95</f>
        <v>1.35</v>
      </c>
      <c r="D11" s="284">
        <f>0.4+0.95</f>
        <v>1.35</v>
      </c>
      <c r="E11" s="341"/>
      <c r="F11" s="341"/>
      <c r="G11" s="282"/>
      <c r="H11" s="82"/>
      <c r="I11" s="56"/>
      <c r="J11" s="56"/>
    </row>
    <row r="12" spans="1:10" ht="15.75" customHeight="1" x14ac:dyDescent="0.4">
      <c r="B12" s="19" t="s">
        <v>280</v>
      </c>
      <c r="C12" s="236">
        <v>0</v>
      </c>
      <c r="D12" s="236">
        <v>0.95</v>
      </c>
      <c r="E12" s="342"/>
      <c r="F12" s="342"/>
      <c r="G12" s="230">
        <f>G9*D26</f>
        <v>15.903059215017358</v>
      </c>
      <c r="H12" s="82"/>
      <c r="I12" s="56"/>
      <c r="J12" s="56"/>
    </row>
    <row r="13" spans="1:10" ht="15.75" customHeight="1" x14ac:dyDescent="0.4">
      <c r="B13" s="17" t="s">
        <v>150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45">
      <c r="B14" s="83" t="s">
        <v>151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4">
      <c r="B15" s="8" t="s">
        <v>303</v>
      </c>
      <c r="C15" s="237">
        <f>C12</f>
        <v>0</v>
      </c>
      <c r="D15" s="195">
        <f ca="1">IF(D12="","",MAX(D9-D11+D12,D12)/D14)</f>
        <v>0.87962962962962954</v>
      </c>
      <c r="E15" s="196">
        <f ca="1">IF(E9="","",E9/E14)</f>
        <v>1.3634310026592382</v>
      </c>
      <c r="F15" s="196" t="str">
        <f>IF(F9="","",F9/F14)</f>
        <v/>
      </c>
      <c r="G15" s="233">
        <f ca="1">IF(G12=0,0,G12/G14)</f>
        <v>12.624361135733688</v>
      </c>
      <c r="H15" s="80"/>
      <c r="I15" s="56"/>
      <c r="J15" s="56"/>
    </row>
    <row r="16" spans="1:10" ht="15.75" customHeight="1" x14ac:dyDescent="0.4">
      <c r="F16" s="6"/>
      <c r="G16" s="115"/>
    </row>
    <row r="17" spans="1:9" ht="15.75" customHeight="1" x14ac:dyDescent="0.4">
      <c r="B17" s="26" t="s">
        <v>221</v>
      </c>
      <c r="C17" s="194" t="str">
        <f>B3</f>
        <v>(Numbers in 1000HKD)</v>
      </c>
      <c r="E17" s="72" t="s">
        <v>222</v>
      </c>
    </row>
    <row r="18" spans="1:9" ht="15.75" customHeight="1" x14ac:dyDescent="0.4">
      <c r="B18" s="58" t="s">
        <v>241</v>
      </c>
      <c r="C18" s="84">
        <f>Asset_Model!E59</f>
        <v>16946370</v>
      </c>
      <c r="D18" s="219">
        <f>C18/(Dashboard!I5/Data!C4)</f>
        <v>11.676602903912285</v>
      </c>
      <c r="E18" s="85" t="s">
        <v>238</v>
      </c>
      <c r="G18" s="137">
        <f>C18+C19+C20+C21</f>
        <v>8633710.6229999959</v>
      </c>
    </row>
    <row r="19" spans="1:9" ht="15.75" customHeight="1" x14ac:dyDescent="0.4">
      <c r="B19" s="58" t="s">
        <v>245</v>
      </c>
      <c r="C19" s="84">
        <f>Asset_Model!E58</f>
        <v>12311432.4</v>
      </c>
      <c r="D19" s="219">
        <f>C19/(Dashboard!I5/Data!C4)</f>
        <v>8.482979382201604</v>
      </c>
      <c r="E19" s="85" t="s">
        <v>239</v>
      </c>
      <c r="G19" s="197">
        <f>(G18+MIN(D4,0))*Data!C$4/Dashboard!I5</f>
        <v>5.9489088537580672</v>
      </c>
    </row>
    <row r="20" spans="1:9" ht="15.75" customHeight="1" x14ac:dyDescent="0.4">
      <c r="B20" s="58" t="s">
        <v>223</v>
      </c>
      <c r="C20" s="84">
        <f>-Asset_Model!D52</f>
        <v>-6103303.7770000007</v>
      </c>
      <c r="D20" s="219">
        <f>C20/(Dashboard!I5/Data!C4)</f>
        <v>-4.2053758183007348</v>
      </c>
      <c r="E20" s="449" t="str">
        <f>IF(F21+G21=G19,"⇒","Error!")</f>
        <v>⇒</v>
      </c>
      <c r="F20" s="146" t="s">
        <v>246</v>
      </c>
      <c r="G20" s="87" t="s">
        <v>23</v>
      </c>
    </row>
    <row r="21" spans="1:9" ht="15.75" customHeight="1" x14ac:dyDescent="0.4">
      <c r="B21" s="85" t="s">
        <v>240</v>
      </c>
      <c r="C21" s="84">
        <f>-Asset_Model!E50</f>
        <v>-14520788</v>
      </c>
      <c r="D21" s="219">
        <f>C21/(Dashboard!I5/Data!C4)</f>
        <v>-10.005297614055085</v>
      </c>
      <c r="E21" s="449"/>
      <c r="F21" s="148">
        <f>D18</f>
        <v>11.676602903912285</v>
      </c>
      <c r="G21" s="147">
        <f>SUM(D19:D21)</f>
        <v>-5.7276940501542155</v>
      </c>
    </row>
    <row r="22" spans="1:9" ht="15.75" customHeight="1" x14ac:dyDescent="0.4">
      <c r="F22" s="6"/>
      <c r="G22" s="6"/>
    </row>
    <row r="23" spans="1:9" ht="15.75" customHeight="1" x14ac:dyDescent="0.4">
      <c r="B23" s="26" t="s">
        <v>224</v>
      </c>
      <c r="C23" s="194" t="str">
        <f>B3</f>
        <v>(Numbers in 1000HKD)</v>
      </c>
      <c r="E23" s="452" t="s">
        <v>231</v>
      </c>
      <c r="F23" s="452"/>
      <c r="G23" s="452"/>
    </row>
    <row r="24" spans="1:9" ht="15.75" customHeight="1" x14ac:dyDescent="0.4">
      <c r="B24" s="127" t="str">
        <f>"Exit after Year "&amp;G4</f>
        <v>Exit after Year 2</v>
      </c>
      <c r="C24" s="127" t="s">
        <v>227</v>
      </c>
      <c r="D24" s="202" t="s">
        <v>220</v>
      </c>
      <c r="E24" s="302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4">
      <c r="B25" s="30" t="s">
        <v>301</v>
      </c>
      <c r="C25" s="14">
        <f>1/D25</f>
        <v>0.16666666666666666</v>
      </c>
      <c r="D25" s="295">
        <v>6</v>
      </c>
      <c r="E25" s="206">
        <f ca="1">G9*D25/G14</f>
        <v>7.5746166814402116</v>
      </c>
      <c r="F25" s="450">
        <f ca="1">SUM(C15:F15)</f>
        <v>2.2430606322888678</v>
      </c>
      <c r="G25" s="206">
        <f ca="1">$F$25+E25+$G$19</f>
        <v>15.766586167487148</v>
      </c>
      <c r="I25" s="74"/>
    </row>
    <row r="26" spans="1:9" ht="15.75" customHeight="1" x14ac:dyDescent="0.4">
      <c r="B26" s="299" t="s">
        <v>302</v>
      </c>
      <c r="C26" s="300">
        <f t="shared" ref="C26" si="0">1/D26</f>
        <v>0.1</v>
      </c>
      <c r="D26" s="312">
        <v>10</v>
      </c>
      <c r="E26" s="207">
        <f ca="1">G9*D26/G14</f>
        <v>12.624361135733688</v>
      </c>
      <c r="F26" s="451"/>
      <c r="G26" s="207">
        <f ca="1">$F$25+E26+$G$19</f>
        <v>20.816330621780622</v>
      </c>
      <c r="I26" s="74"/>
    </row>
    <row r="27" spans="1:9" ht="15.75" customHeight="1" x14ac:dyDescent="0.4">
      <c r="C27" s="6"/>
      <c r="D27" s="6"/>
      <c r="E27" s="6"/>
      <c r="F27" s="6"/>
      <c r="G27" s="6"/>
    </row>
    <row r="28" spans="1:9" ht="15.75" customHeight="1" x14ac:dyDescent="0.4">
      <c r="A28" s="10"/>
      <c r="B28" s="11" t="s">
        <v>17</v>
      </c>
      <c r="C28" s="250" t="str">
        <f>"(Numbers in "&amp;Dashboard!J4&amp;" per share)"</f>
        <v>(Numbers in HKD per share)</v>
      </c>
      <c r="D28" s="127"/>
      <c r="E28" s="133"/>
      <c r="F28" s="127"/>
      <c r="G28" s="127"/>
      <c r="H28" s="12"/>
      <c r="I28" s="90"/>
    </row>
    <row r="29" spans="1:9" ht="15.75" customHeight="1" x14ac:dyDescent="0.4">
      <c r="A29" s="6"/>
      <c r="B29" s="71" t="s">
        <v>152</v>
      </c>
      <c r="C29" s="252">
        <f ca="1">MIN(Asset_Model!D7,G25*Exchange_Rate)+(ABS(Asset_Model!D7-G25*Exchange_Rate)*'Qualitative Analysis'!E8)</f>
        <v>15.177942172348047</v>
      </c>
      <c r="D29" s="23" t="str">
        <f ca="1">IF(C29&lt;E29,"&lt;",IF(C29=E29,"=","&gt;"))</f>
        <v>&lt;</v>
      </c>
      <c r="E29" s="251">
        <f ca="1">G26*Exchange_Rate</f>
        <v>20.816330621780622</v>
      </c>
      <c r="F29" s="30"/>
      <c r="H29" s="6"/>
      <c r="I29" s="6"/>
    </row>
    <row r="30" spans="1:9" ht="15.75" customHeight="1" x14ac:dyDescent="0.4">
      <c r="B30" s="6"/>
      <c r="C30" s="123"/>
      <c r="D30" s="123"/>
      <c r="E30" s="123"/>
      <c r="F30" s="123"/>
      <c r="G30" s="124"/>
      <c r="H30" s="6"/>
      <c r="I30" s="88"/>
    </row>
    <row r="31" spans="1:9" ht="15.75" customHeight="1" x14ac:dyDescent="0.4">
      <c r="C31" s="447" t="s">
        <v>153</v>
      </c>
      <c r="D31" s="448"/>
      <c r="E31" s="30" t="s">
        <v>219</v>
      </c>
      <c r="F31" s="30" t="s">
        <v>18</v>
      </c>
      <c r="G31" s="30"/>
      <c r="H31" s="6"/>
    </row>
    <row r="32" spans="1:9" ht="15.75" customHeight="1" x14ac:dyDescent="0.4">
      <c r="B32" s="256" t="s">
        <v>233</v>
      </c>
      <c r="C32" s="253">
        <f ca="1">MIN(C29,E29)+ABS(C29-E29)*'Qualitative Analysis'!$E$64</f>
        <v>18.627667404704535</v>
      </c>
      <c r="D32" s="119" t="str">
        <f>Dashboard!J4</f>
        <v>HKD</v>
      </c>
      <c r="E32" s="120">
        <f ca="1">(C32-G19)/C9</f>
        <v>5.2004312053294708</v>
      </c>
      <c r="F32" s="158">
        <f ca="1">C32/(Data!C28*Exchange_Rate*Data!C4/Common_Shares)</f>
        <v>0.20432227628718941</v>
      </c>
      <c r="G32" s="87"/>
      <c r="H32" s="6"/>
      <c r="I32" s="74"/>
    </row>
    <row r="33" spans="2:7" ht="15.75" customHeight="1" x14ac:dyDescent="0.4">
      <c r="B33" s="255" t="s">
        <v>232</v>
      </c>
      <c r="C33" s="254">
        <f ca="1">MAX(Asset_Model!D7,(G12/(1+G33)^G4+F25+G19)*Exchange_Rate)</f>
        <v>21.979043699136202</v>
      </c>
      <c r="D33" s="208" t="str">
        <f>D32</f>
        <v>HKD</v>
      </c>
      <c r="E33" s="120">
        <f ca="1">(C33-G19)/C9</f>
        <v>6.5750612049726804</v>
      </c>
      <c r="F33" s="158">
        <f ca="1">C33/(Data!C28*Exchange_Rate*Data!C4/Common_Shares)</f>
        <v>0.2410826939120104</v>
      </c>
      <c r="G33" s="280">
        <f>Dashboard!D10+4.5%</f>
        <v>7.3999999999999996E-2</v>
      </c>
    </row>
    <row r="34" spans="2:7" ht="15.75" customHeight="1" x14ac:dyDescent="0.4"/>
    <row r="35" spans="2:7" ht="15.75" customHeight="1" x14ac:dyDescent="0.4"/>
    <row r="36" spans="2:7" ht="15.75" customHeight="1" x14ac:dyDescent="0.4"/>
    <row r="37" spans="2:7" ht="15.75" customHeight="1" x14ac:dyDescent="0.4"/>
    <row r="38" spans="2:7" ht="15.75" customHeight="1" x14ac:dyDescent="0.4"/>
    <row r="39" spans="2:7" ht="15.75" customHeight="1" x14ac:dyDescent="0.4"/>
    <row r="40" spans="2:7" ht="15.75" customHeight="1" x14ac:dyDescent="0.4"/>
    <row r="41" spans="2:7" ht="15.75" customHeight="1" x14ac:dyDescent="0.4"/>
    <row r="42" spans="2:7" ht="15.75" customHeight="1" x14ac:dyDescent="0.4"/>
    <row r="43" spans="2:7" ht="15.75" customHeight="1" x14ac:dyDescent="0.4"/>
    <row r="44" spans="2:7" ht="15.75" customHeight="1" x14ac:dyDescent="0.4"/>
    <row r="45" spans="2:7" ht="15.75" customHeight="1" x14ac:dyDescent="0.4"/>
    <row r="46" spans="2:7" ht="15.75" customHeight="1" x14ac:dyDescent="0.4"/>
    <row r="47" spans="2:7" ht="15.75" customHeight="1" x14ac:dyDescent="0.4"/>
    <row r="48" spans="2:7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</sheetData>
  <mergeCells count="4">
    <mergeCell ref="C31:D31"/>
    <mergeCell ref="E20:E21"/>
    <mergeCell ref="F25:F26"/>
    <mergeCell ref="E23:G23"/>
  </mergeCells>
  <phoneticPr fontId="30" type="noConversion"/>
  <conditionalFormatting sqref="E25:E26 G25:G26">
    <cfRule type="cellIs" dxfId="2" priority="28" operator="equal">
      <formula>$E$29</formula>
    </cfRule>
  </conditionalFormatting>
  <conditionalFormatting sqref="E4:F9 E13:F15">
    <cfRule type="containsBlanks" dxfId="1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31" sqref="E31"/>
    </sheetView>
  </sheetViews>
  <sheetFormatPr defaultColWidth="12.46484375" defaultRowHeight="15" customHeight="1" x14ac:dyDescent="0.4"/>
  <cols>
    <col min="1" max="1" width="2.46484375" style="3" customWidth="1"/>
    <col min="2" max="2" width="62.46484375" style="3" customWidth="1"/>
    <col min="3" max="3" width="28.6640625" style="3" customWidth="1"/>
    <col min="4" max="4" width="10.6640625" style="3" customWidth="1"/>
    <col min="5" max="5" width="28.6640625" style="3" customWidth="1"/>
    <col min="6" max="6" width="5.6640625" style="3" customWidth="1"/>
    <col min="7" max="7" width="73.796875" style="3" customWidth="1"/>
    <col min="8" max="16384" width="12.46484375" style="3"/>
  </cols>
  <sheetData>
    <row r="2" spans="1:7" x14ac:dyDescent="0.4">
      <c r="A2" s="4"/>
      <c r="B2" s="11" t="s">
        <v>154</v>
      </c>
      <c r="C2" s="95"/>
      <c r="D2" s="12"/>
      <c r="E2" s="12"/>
      <c r="G2" s="72" t="s">
        <v>141</v>
      </c>
    </row>
    <row r="3" spans="1:7" ht="13.9" x14ac:dyDescent="0.4">
      <c r="B3" s="6" t="s">
        <v>284</v>
      </c>
      <c r="C3" s="96"/>
      <c r="D3" s="94">
        <f>IF(E3="Strongly disagree",0,IF(E3="disagree",1,IF(E3="unclear",2,IF(E3="agree",3,4))))</f>
        <v>0</v>
      </c>
      <c r="E3" s="31" t="s">
        <v>178</v>
      </c>
      <c r="G3" s="79" t="s">
        <v>322</v>
      </c>
    </row>
    <row r="4" spans="1:7" ht="13.9" x14ac:dyDescent="0.4">
      <c r="B4" s="6" t="s">
        <v>286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 t="s">
        <v>323</v>
      </c>
    </row>
    <row r="5" spans="1:7" ht="13.9" x14ac:dyDescent="0.4">
      <c r="B5" s="6" t="s">
        <v>281</v>
      </c>
      <c r="C5" s="96"/>
      <c r="D5" s="94">
        <f>AVERAGE(D12:D16)</f>
        <v>3.4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3.9" x14ac:dyDescent="0.4">
      <c r="B6" s="6" t="s">
        <v>282</v>
      </c>
      <c r="C6" s="96"/>
      <c r="D6" s="94">
        <f>AVERAGE(D24:D28)</f>
        <v>2.8</v>
      </c>
      <c r="E6" s="102" t="str">
        <f>IF(D6&gt;=3.5,"Strongly agree",IF(D6&gt;=2.5,"agree",IF(D6&gt;=1.5,"unclear",IF(D6&gt;=0.5,"disagree","Strongly disagree"))))</f>
        <v>agree</v>
      </c>
      <c r="G6" s="77"/>
    </row>
    <row r="7" spans="1:7" ht="13.9" x14ac:dyDescent="0.4">
      <c r="B7" s="6" t="s">
        <v>283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3.9" x14ac:dyDescent="0.4">
      <c r="B8" s="97" t="s">
        <v>157</v>
      </c>
      <c r="C8" s="96"/>
      <c r="D8" s="94">
        <f>AVERAGE(D3:D7)</f>
        <v>2.04</v>
      </c>
      <c r="E8" s="98">
        <f>D8/4</f>
        <v>0.51</v>
      </c>
      <c r="G8" s="77"/>
    </row>
    <row r="9" spans="1:7" ht="13.9" x14ac:dyDescent="0.4">
      <c r="B9" s="96"/>
      <c r="C9" s="96"/>
      <c r="E9" s="6"/>
      <c r="G9" s="77"/>
    </row>
    <row r="10" spans="1:7" ht="15" customHeight="1" x14ac:dyDescent="0.4">
      <c r="A10" s="4"/>
      <c r="B10" s="11" t="s">
        <v>158</v>
      </c>
      <c r="C10" s="20"/>
      <c r="D10" s="20"/>
      <c r="E10" s="12"/>
      <c r="G10" s="292"/>
    </row>
    <row r="11" spans="1:7" ht="15" customHeight="1" x14ac:dyDescent="0.4">
      <c r="B11" s="99" t="s">
        <v>159</v>
      </c>
      <c r="C11" s="93"/>
      <c r="E11" s="6"/>
      <c r="G11" s="292"/>
    </row>
    <row r="12" spans="1:7" ht="15" customHeight="1" x14ac:dyDescent="0.4">
      <c r="B12" s="53" t="s">
        <v>285</v>
      </c>
      <c r="D12" s="100">
        <f>IF(E12="Strongly disagree",0,IF(E12="disagree",1,IF(E12="unclear",2,IF(E12="agree",3,4))))</f>
        <v>4</v>
      </c>
      <c r="E12" s="31" t="s">
        <v>165</v>
      </c>
      <c r="F12" s="6"/>
      <c r="G12" s="292" t="s">
        <v>324</v>
      </c>
    </row>
    <row r="13" spans="1:7" ht="15" customHeight="1" x14ac:dyDescent="0.4">
      <c r="B13" s="53" t="s">
        <v>160</v>
      </c>
      <c r="D13" s="100">
        <f>IF(E13="Strongly disagree",0,IF(E13="disagree",1,IF(E13="unclear",2,IF(E13="agree",3,4))))</f>
        <v>4</v>
      </c>
      <c r="E13" s="31" t="s">
        <v>165</v>
      </c>
      <c r="F13" s="6"/>
      <c r="G13" s="292"/>
    </row>
    <row r="14" spans="1:7" ht="15" customHeight="1" x14ac:dyDescent="0.4">
      <c r="B14" s="53" t="s">
        <v>161</v>
      </c>
      <c r="D14" s="100">
        <f>IF(E14="Strongly disagree",0,IF(E14="disagree",1,IF(E14="unclear",2,IF(E14="agree",3,4))))</f>
        <v>4</v>
      </c>
      <c r="E14" s="31" t="s">
        <v>165</v>
      </c>
      <c r="F14" s="6"/>
      <c r="G14" s="292"/>
    </row>
    <row r="15" spans="1:7" ht="15" customHeight="1" x14ac:dyDescent="0.4">
      <c r="B15" s="53" t="s">
        <v>162</v>
      </c>
      <c r="D15" s="100">
        <f>IF(E15="Strongly disagree",0,IF(E15="disagree",1,IF(E15="unclear",2,IF(E15="agree",3,4))))</f>
        <v>1</v>
      </c>
      <c r="E15" s="31" t="s">
        <v>163</v>
      </c>
      <c r="F15" s="6"/>
      <c r="G15" s="292"/>
    </row>
    <row r="16" spans="1:7" ht="15" customHeight="1" x14ac:dyDescent="0.4">
      <c r="B16" s="53" t="s">
        <v>164</v>
      </c>
      <c r="D16" s="100">
        <f>IF(E16="Strongly disagree",0,IF(E16="disagree",1,IF(E16="unclear",2,IF(E16="agree",3,4))))</f>
        <v>4</v>
      </c>
      <c r="E16" s="31" t="s">
        <v>165</v>
      </c>
      <c r="F16" s="6"/>
      <c r="G16" s="292"/>
    </row>
    <row r="17" spans="2:7" ht="15" customHeight="1" x14ac:dyDescent="0.4">
      <c r="B17" s="99" t="s">
        <v>166</v>
      </c>
      <c r="D17" s="38"/>
      <c r="E17" s="23"/>
      <c r="G17" s="292"/>
    </row>
    <row r="18" spans="2:7" ht="15" customHeight="1" x14ac:dyDescent="0.4">
      <c r="B18" s="53" t="s">
        <v>306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2"/>
    </row>
    <row r="19" spans="2:7" ht="15" customHeight="1" x14ac:dyDescent="0.4">
      <c r="B19" s="53" t="s">
        <v>167</v>
      </c>
      <c r="D19" s="100">
        <f t="shared" ref="D19:D22" si="1">IF(E19="Strongly disagree",0,IF(E19="disagree",1,IF(E19="unclear",2,IF(E19="agree",3,4))))</f>
        <v>1</v>
      </c>
      <c r="E19" s="31" t="s">
        <v>163</v>
      </c>
      <c r="F19" s="6"/>
      <c r="G19" s="292"/>
    </row>
    <row r="20" spans="2:7" ht="15" customHeight="1" x14ac:dyDescent="0.4">
      <c r="B20" s="53" t="s">
        <v>168</v>
      </c>
      <c r="D20" s="100">
        <f t="shared" si="1"/>
        <v>0</v>
      </c>
      <c r="E20" s="31" t="s">
        <v>178</v>
      </c>
      <c r="F20" s="6"/>
      <c r="G20" s="292"/>
    </row>
    <row r="21" spans="2:7" ht="15" customHeight="1" x14ac:dyDescent="0.4">
      <c r="B21" s="53" t="s">
        <v>169</v>
      </c>
      <c r="D21" s="100">
        <f t="shared" si="1"/>
        <v>2</v>
      </c>
      <c r="E21" s="31" t="s">
        <v>155</v>
      </c>
      <c r="F21" s="6"/>
      <c r="G21" s="292"/>
    </row>
    <row r="22" spans="2:7" ht="15" customHeight="1" x14ac:dyDescent="0.4">
      <c r="B22" s="53" t="s">
        <v>170</v>
      </c>
      <c r="D22" s="100">
        <f t="shared" si="1"/>
        <v>1</v>
      </c>
      <c r="E22" s="31" t="s">
        <v>163</v>
      </c>
      <c r="F22" s="6"/>
      <c r="G22" s="292"/>
    </row>
    <row r="23" spans="2:7" ht="15" customHeight="1" x14ac:dyDescent="0.4">
      <c r="B23" s="99" t="s">
        <v>171</v>
      </c>
      <c r="D23" s="38"/>
      <c r="E23" s="23"/>
      <c r="G23" s="292"/>
    </row>
    <row r="24" spans="2:7" ht="15" customHeight="1" x14ac:dyDescent="0.4">
      <c r="B24" s="53" t="s">
        <v>172</v>
      </c>
      <c r="D24" s="100">
        <f t="shared" ref="D24:D28" si="2">IF(E24="Strongly disagree",0,IF(E24="disagree",1,IF(E24="unclear",2,IF(E24="agree",3,4))))</f>
        <v>4</v>
      </c>
      <c r="E24" s="31" t="s">
        <v>165</v>
      </c>
      <c r="F24" s="6"/>
      <c r="G24" s="292"/>
    </row>
    <row r="25" spans="2:7" ht="15" customHeight="1" x14ac:dyDescent="0.4">
      <c r="B25" s="53" t="s">
        <v>173</v>
      </c>
      <c r="D25" s="100">
        <f t="shared" si="2"/>
        <v>3</v>
      </c>
      <c r="E25" s="31" t="s">
        <v>156</v>
      </c>
      <c r="F25" s="6"/>
      <c r="G25" s="292"/>
    </row>
    <row r="26" spans="2:7" ht="15" customHeight="1" x14ac:dyDescent="0.4">
      <c r="B26" s="53" t="s">
        <v>287</v>
      </c>
      <c r="D26" s="100">
        <f t="shared" si="2"/>
        <v>2</v>
      </c>
      <c r="E26" s="31" t="s">
        <v>155</v>
      </c>
      <c r="F26" s="6"/>
      <c r="G26" s="292"/>
    </row>
    <row r="27" spans="2:7" ht="15" customHeight="1" x14ac:dyDescent="0.4">
      <c r="B27" s="53" t="s">
        <v>288</v>
      </c>
      <c r="D27" s="100">
        <f t="shared" si="2"/>
        <v>2</v>
      </c>
      <c r="E27" s="31" t="s">
        <v>155</v>
      </c>
      <c r="F27" s="6"/>
      <c r="G27" s="292"/>
    </row>
    <row r="28" spans="2:7" ht="15" customHeight="1" x14ac:dyDescent="0.4">
      <c r="B28" s="53" t="s">
        <v>174</v>
      </c>
      <c r="D28" s="100">
        <f t="shared" si="2"/>
        <v>3</v>
      </c>
      <c r="E28" s="31" t="s">
        <v>156</v>
      </c>
      <c r="F28" s="6"/>
      <c r="G28" s="292"/>
    </row>
    <row r="29" spans="2:7" ht="15" customHeight="1" x14ac:dyDescent="0.4">
      <c r="B29" s="99" t="s">
        <v>175</v>
      </c>
      <c r="D29" s="38"/>
      <c r="E29" s="23"/>
      <c r="G29" s="292"/>
    </row>
    <row r="30" spans="2:7" ht="15" customHeight="1" x14ac:dyDescent="0.4">
      <c r="B30" s="1" t="s">
        <v>176</v>
      </c>
      <c r="D30" s="103">
        <f>SUM(D31:D35)/(5*4)</f>
        <v>0.55000000000000004</v>
      </c>
      <c r="E30" s="49" t="str">
        <f>IF(D30&gt;80%,"Very High",IF(D30&lt;=20%,"Very Low",IF(D30&lt;=40%,"Low",IF(D30&lt;=60%,"Medium","High"))))</f>
        <v>Medium</v>
      </c>
      <c r="F30" s="6"/>
      <c r="G30" s="292"/>
    </row>
    <row r="31" spans="2:7" ht="15" customHeight="1" x14ac:dyDescent="0.4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2"/>
    </row>
    <row r="32" spans="2:7" ht="15" customHeight="1" x14ac:dyDescent="0.4">
      <c r="B32" s="53" t="s">
        <v>289</v>
      </c>
      <c r="D32" s="100">
        <f t="shared" si="3"/>
        <v>4</v>
      </c>
      <c r="E32" s="31" t="s">
        <v>165</v>
      </c>
      <c r="F32" s="6"/>
      <c r="G32" s="292"/>
    </row>
    <row r="33" spans="2:7" ht="15" customHeight="1" x14ac:dyDescent="0.4">
      <c r="B33" s="53" t="s">
        <v>290</v>
      </c>
      <c r="D33" s="100">
        <f t="shared" si="3"/>
        <v>3</v>
      </c>
      <c r="E33" s="31" t="s">
        <v>156</v>
      </c>
      <c r="F33" s="6"/>
      <c r="G33" s="292"/>
    </row>
    <row r="34" spans="2:7" ht="15" customHeight="1" x14ac:dyDescent="0.4">
      <c r="B34" s="53" t="s">
        <v>291</v>
      </c>
      <c r="D34" s="100">
        <f t="shared" si="3"/>
        <v>1</v>
      </c>
      <c r="E34" s="31" t="s">
        <v>163</v>
      </c>
      <c r="F34" s="6"/>
      <c r="G34" s="292"/>
    </row>
    <row r="35" spans="2:7" ht="15" customHeight="1" x14ac:dyDescent="0.4">
      <c r="B35" s="53" t="s">
        <v>308</v>
      </c>
      <c r="D35" s="100">
        <f t="shared" si="3"/>
        <v>3</v>
      </c>
      <c r="E35" s="31" t="s">
        <v>156</v>
      </c>
      <c r="G35" s="292"/>
    </row>
    <row r="36" spans="2:7" ht="15" customHeight="1" x14ac:dyDescent="0.4">
      <c r="B36" s="1" t="s">
        <v>179</v>
      </c>
      <c r="D36" s="10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2"/>
    </row>
    <row r="37" spans="2:7" ht="15" customHeight="1" x14ac:dyDescent="0.4">
      <c r="B37" s="53" t="s">
        <v>180</v>
      </c>
      <c r="D37" s="100">
        <f t="shared" ref="D37:D41" si="4">IF(E37="Strongly disagree",0,IF(E37="disagree",1,IF(E37="unclear",2,IF(E37="agree",3,4))))</f>
        <v>0</v>
      </c>
      <c r="E37" s="31" t="s">
        <v>178</v>
      </c>
      <c r="F37" s="6"/>
      <c r="G37" s="292"/>
    </row>
    <row r="38" spans="2:7" ht="15" customHeight="1" x14ac:dyDescent="0.4">
      <c r="B38" s="53" t="s">
        <v>292</v>
      </c>
      <c r="D38" s="100">
        <f t="shared" si="4"/>
        <v>0</v>
      </c>
      <c r="E38" s="31" t="s">
        <v>178</v>
      </c>
      <c r="F38" s="6"/>
      <c r="G38" s="292"/>
    </row>
    <row r="39" spans="2:7" ht="15" customHeight="1" x14ac:dyDescent="0.4">
      <c r="B39" s="53" t="s">
        <v>293</v>
      </c>
      <c r="D39" s="100">
        <f t="shared" si="4"/>
        <v>0</v>
      </c>
      <c r="E39" s="31" t="s">
        <v>178</v>
      </c>
      <c r="F39" s="6"/>
      <c r="G39" s="292"/>
    </row>
    <row r="40" spans="2:7" ht="15" customHeight="1" x14ac:dyDescent="0.4">
      <c r="B40" s="53" t="s">
        <v>294</v>
      </c>
      <c r="D40" s="100">
        <f t="shared" si="4"/>
        <v>4</v>
      </c>
      <c r="E40" s="31" t="s">
        <v>165</v>
      </c>
      <c r="F40" s="6"/>
      <c r="G40" s="292"/>
    </row>
    <row r="41" spans="2:7" ht="15" customHeight="1" x14ac:dyDescent="0.4">
      <c r="B41" s="53" t="s">
        <v>295</v>
      </c>
      <c r="D41" s="100">
        <f t="shared" si="4"/>
        <v>0</v>
      </c>
      <c r="E41" s="31" t="s">
        <v>178</v>
      </c>
      <c r="G41" s="292"/>
    </row>
    <row r="42" spans="2:7" ht="15" customHeight="1" x14ac:dyDescent="0.4">
      <c r="B42" s="1" t="s">
        <v>181</v>
      </c>
      <c r="D42" s="103">
        <f>SUM(D43:D48)/(6*4)</f>
        <v>0.25</v>
      </c>
      <c r="E42" s="49" t="str">
        <f>IF(D42&gt;80%,"Very High",IF(D42&lt;=20%,"Very Low",IF(D42&lt;=40%,"Low",IF(D42&lt;=60%,"Medium","High"))))</f>
        <v>Low</v>
      </c>
      <c r="F42" s="6"/>
      <c r="G42" s="292"/>
    </row>
    <row r="43" spans="2:7" ht="15" customHeight="1" x14ac:dyDescent="0.4">
      <c r="B43" s="53" t="s">
        <v>182</v>
      </c>
      <c r="D43" s="100">
        <f t="shared" ref="D43:D48" si="5">IF(E43="Strongly disagree",0,IF(E43="disagree",1,IF(E43="unclear",2,IF(E43="agree",3,4))))</f>
        <v>0</v>
      </c>
      <c r="E43" s="31" t="s">
        <v>178</v>
      </c>
      <c r="F43" s="6"/>
      <c r="G43" s="292"/>
    </row>
    <row r="44" spans="2:7" ht="15" customHeight="1" x14ac:dyDescent="0.4">
      <c r="B44" s="53" t="s">
        <v>183</v>
      </c>
      <c r="D44" s="100">
        <f t="shared" si="5"/>
        <v>1</v>
      </c>
      <c r="E44" s="31" t="s">
        <v>163</v>
      </c>
      <c r="F44" s="6"/>
      <c r="G44" s="292"/>
    </row>
    <row r="45" spans="2:7" ht="15" customHeight="1" x14ac:dyDescent="0.4">
      <c r="B45" s="53" t="s">
        <v>184</v>
      </c>
      <c r="D45" s="100">
        <f t="shared" si="5"/>
        <v>4</v>
      </c>
      <c r="E45" s="31" t="s">
        <v>165</v>
      </c>
      <c r="F45" s="6"/>
      <c r="G45" s="292"/>
    </row>
    <row r="46" spans="2:7" ht="15" customHeight="1" x14ac:dyDescent="0.4">
      <c r="B46" s="53" t="s">
        <v>185</v>
      </c>
      <c r="D46" s="100">
        <f t="shared" si="5"/>
        <v>0</v>
      </c>
      <c r="E46" s="31" t="s">
        <v>178</v>
      </c>
      <c r="F46" s="6"/>
      <c r="G46" s="292"/>
    </row>
    <row r="47" spans="2:7" ht="15" customHeight="1" x14ac:dyDescent="0.4">
      <c r="B47" s="53" t="s">
        <v>186</v>
      </c>
      <c r="D47" s="100">
        <f t="shared" si="5"/>
        <v>0</v>
      </c>
      <c r="E47" s="31" t="s">
        <v>178</v>
      </c>
      <c r="F47" s="6"/>
      <c r="G47" s="292"/>
    </row>
    <row r="48" spans="2:7" ht="15" customHeight="1" x14ac:dyDescent="0.4">
      <c r="B48" s="53" t="s">
        <v>212</v>
      </c>
      <c r="D48" s="100">
        <f t="shared" si="5"/>
        <v>1</v>
      </c>
      <c r="E48" s="31" t="s">
        <v>163</v>
      </c>
      <c r="F48" s="6"/>
      <c r="G48" s="292"/>
    </row>
    <row r="49" spans="2:8" ht="15" customHeight="1" x14ac:dyDescent="0.4">
      <c r="B49" s="1" t="s">
        <v>187</v>
      </c>
      <c r="D49" s="103">
        <f>SUM(D50:D54)/(5*4)</f>
        <v>0.55510204081632653</v>
      </c>
      <c r="E49" s="49" t="str">
        <f>IF(D49&gt;80%,"Very High",IF(D49&lt;=20%,"Very Low",IF(D49&lt;=40%,"Low",IF(D49&lt;=60%,"Medium","High"))))</f>
        <v>Medium</v>
      </c>
      <c r="F49" s="6"/>
      <c r="G49" s="292"/>
    </row>
    <row r="50" spans="2:8" ht="15" customHeight="1" x14ac:dyDescent="0.4">
      <c r="B50" s="53" t="s">
        <v>188</v>
      </c>
      <c r="D50" s="100">
        <f t="shared" ref="D50:D52" si="6">IF(E50="Strongly disagree",0,IF(E50="disagree",1,IF(E50="unclear",2,IF(E50="agree",3,4))))</f>
        <v>2</v>
      </c>
      <c r="E50" s="31" t="s">
        <v>155</v>
      </c>
      <c r="G50" s="292"/>
    </row>
    <row r="51" spans="2:8" ht="15" customHeight="1" x14ac:dyDescent="0.4">
      <c r="B51" s="53" t="s">
        <v>189</v>
      </c>
      <c r="D51" s="100">
        <f t="shared" si="6"/>
        <v>0</v>
      </c>
      <c r="E51" s="31" t="s">
        <v>178</v>
      </c>
      <c r="F51" s="6"/>
      <c r="G51" s="292"/>
    </row>
    <row r="52" spans="2:8" ht="15" customHeight="1" x14ac:dyDescent="0.4">
      <c r="B52" s="53" t="s">
        <v>296</v>
      </c>
      <c r="D52" s="100">
        <f t="shared" si="6"/>
        <v>2</v>
      </c>
      <c r="E52" s="31" t="s">
        <v>155</v>
      </c>
      <c r="G52" s="292"/>
    </row>
    <row r="53" spans="2:8" ht="15" customHeight="1" x14ac:dyDescent="0.4">
      <c r="B53" s="53" t="s">
        <v>297</v>
      </c>
      <c r="D53" s="100">
        <f>IF(E53="Strongly disagree",0,IF(E53="disagree",1,IF(E53="unclear",2,IF(E53="agree",3,4))))</f>
        <v>4</v>
      </c>
      <c r="E53" s="31" t="s">
        <v>165</v>
      </c>
      <c r="F53" s="53"/>
      <c r="G53" s="292"/>
      <c r="H53" s="53"/>
    </row>
    <row r="54" spans="2:8" ht="15" customHeight="1" x14ac:dyDescent="0.4">
      <c r="B54" s="53" t="s">
        <v>298</v>
      </c>
      <c r="D54" s="104">
        <f t="array" ref="D54">(1-INDEX(B68:E77,MATCH(E54,B68:B77,0),4))*4</f>
        <v>3.1020408163265305</v>
      </c>
      <c r="E54" s="31" t="s">
        <v>276</v>
      </c>
      <c r="F54" s="53"/>
      <c r="G54" s="292"/>
      <c r="H54" s="53"/>
    </row>
    <row r="55" spans="2:8" ht="15" customHeight="1" x14ac:dyDescent="0.4">
      <c r="B55" s="1" t="s">
        <v>190</v>
      </c>
      <c r="D55" s="105">
        <f>SUM(D56:D61)/(6*4)</f>
        <v>0.70833333333333337</v>
      </c>
      <c r="E55" s="49" t="str">
        <f>IF(D55&gt;80%,"Very High",IF(D55&lt;=20%,"Very Low",IF(D55&lt;=40%,"Low",IF(D55&lt;=60%,"Medium","High"))))</f>
        <v>High</v>
      </c>
      <c r="F55" s="53"/>
      <c r="G55" s="292"/>
      <c r="H55" s="53"/>
    </row>
    <row r="56" spans="2:8" ht="15" customHeight="1" x14ac:dyDescent="0.4">
      <c r="B56" s="53" t="s">
        <v>191</v>
      </c>
      <c r="D56" s="100">
        <f t="shared" ref="D56:D60" si="7">IF(E56="Strongly disagree",0,IF(E56="disagree",1,IF(E56="unclear",2,IF(E56="agree",3,4))))</f>
        <v>3</v>
      </c>
      <c r="E56" s="31" t="s">
        <v>156</v>
      </c>
      <c r="F56" s="53"/>
      <c r="G56" s="292"/>
      <c r="H56" s="53"/>
    </row>
    <row r="57" spans="2:8" ht="15" customHeight="1" x14ac:dyDescent="0.4">
      <c r="B57" s="53" t="s">
        <v>192</v>
      </c>
      <c r="D57" s="100">
        <f t="shared" si="7"/>
        <v>2</v>
      </c>
      <c r="E57" s="31" t="s">
        <v>155</v>
      </c>
      <c r="F57" s="53"/>
      <c r="G57" s="292"/>
      <c r="H57" s="53"/>
    </row>
    <row r="58" spans="2:8" ht="15" customHeight="1" x14ac:dyDescent="0.4">
      <c r="B58" s="53" t="s">
        <v>213</v>
      </c>
      <c r="D58" s="100">
        <f t="shared" si="7"/>
        <v>2</v>
      </c>
      <c r="E58" s="31" t="s">
        <v>155</v>
      </c>
      <c r="F58" s="53"/>
      <c r="G58" s="292"/>
      <c r="H58" s="53"/>
    </row>
    <row r="59" spans="2:8" ht="15" customHeight="1" x14ac:dyDescent="0.4">
      <c r="B59" s="53" t="s">
        <v>214</v>
      </c>
      <c r="D59" s="100">
        <f t="shared" si="7"/>
        <v>4</v>
      </c>
      <c r="E59" s="31" t="s">
        <v>165</v>
      </c>
      <c r="F59" s="53"/>
      <c r="G59" s="292"/>
      <c r="H59" s="53"/>
    </row>
    <row r="60" spans="2:8" ht="15" customHeight="1" x14ac:dyDescent="0.4">
      <c r="B60" s="53" t="s">
        <v>215</v>
      </c>
      <c r="D60" s="100">
        <f t="shared" si="7"/>
        <v>4</v>
      </c>
      <c r="E60" s="31" t="s">
        <v>165</v>
      </c>
      <c r="F60" s="53"/>
      <c r="G60" s="292"/>
      <c r="H60" s="53"/>
    </row>
    <row r="61" spans="2:8" ht="15" customHeight="1" x14ac:dyDescent="0.4">
      <c r="B61" s="53" t="s">
        <v>216</v>
      </c>
      <c r="D61" s="100">
        <f>IF(E61="Strongly disagree",0,IF(E61="disagree",1,IF(E61="non-perishable",2,IF(E61="agree",3,4))))</f>
        <v>2</v>
      </c>
      <c r="E61" s="31" t="s">
        <v>277</v>
      </c>
      <c r="F61" s="53"/>
      <c r="G61" s="292"/>
      <c r="H61" s="53"/>
    </row>
    <row r="62" spans="2:8" ht="15" customHeight="1" x14ac:dyDescent="0.4">
      <c r="B62" s="146" t="s">
        <v>193</v>
      </c>
      <c r="D62" s="126">
        <f>1-AVERAGE(D30,D36,D42,D49,D55)</f>
        <v>0.54731292517006802</v>
      </c>
      <c r="E62" s="49" t="str">
        <f>IF(D62&gt;80%,"Very Low",IF(D62&lt;=20%,"Very High",IF(D62&lt;=40%,"High",IF(D62&lt;=60%,"Medium","Low"))))</f>
        <v>Medium</v>
      </c>
      <c r="F62" s="53"/>
      <c r="G62" s="292"/>
      <c r="H62" s="53"/>
    </row>
    <row r="63" spans="2:8" ht="15" customHeight="1" x14ac:dyDescent="0.4">
      <c r="D63" s="6"/>
      <c r="G63" s="292"/>
    </row>
    <row r="64" spans="2:8" ht="15" customHeight="1" x14ac:dyDescent="0.4">
      <c r="B64" s="97" t="s">
        <v>194</v>
      </c>
      <c r="D64" s="94">
        <f>E64*4</f>
        <v>2.4473129251700678</v>
      </c>
      <c r="E64" s="125">
        <f>AVERAGE(AVERAGE(D12:D16)/4,AVERAGE(D18:D22)/4,AVERAGE(D24:D28)/4,D62)</f>
        <v>0.61182823129251696</v>
      </c>
      <c r="G64" s="292"/>
    </row>
    <row r="65" spans="2:7" ht="15" customHeight="1" x14ac:dyDescent="0.4">
      <c r="G65" s="293"/>
    </row>
    <row r="66" spans="2:7" ht="15" customHeight="1" x14ac:dyDescent="0.4">
      <c r="B66" s="54" t="s">
        <v>195</v>
      </c>
      <c r="C66" s="7"/>
      <c r="D66" s="7"/>
      <c r="E66" s="55"/>
    </row>
    <row r="67" spans="2:7" ht="15" customHeight="1" x14ac:dyDescent="0.4">
      <c r="B67" s="106" t="s">
        <v>196</v>
      </c>
      <c r="C67" s="107"/>
      <c r="D67" s="107"/>
      <c r="E67" s="108"/>
    </row>
    <row r="68" spans="2:7" ht="15" customHeight="1" x14ac:dyDescent="0.4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4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4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4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4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4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4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4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4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4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phoneticPr fontId="30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eileen zhang</cp:lastModifiedBy>
  <cp:revision/>
  <cp:lastPrinted>2023-02-17T02:44:16Z</cp:lastPrinted>
  <dcterms:created xsi:type="dcterms:W3CDTF">2022-08-10T03:52:42Z</dcterms:created>
  <dcterms:modified xsi:type="dcterms:W3CDTF">2023-03-29T15:16:17Z</dcterms:modified>
  <cp:category/>
  <cp:contentStatus/>
</cp:coreProperties>
</file>