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E3DAF3DA-C402-4C93-8E5F-A1CC242EF6F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/>
  <c r="D14" i="4"/>
  <c r="D15" i="4"/>
  <c r="E13" i="4"/>
  <c r="E14" i="4"/>
  <c r="E15" i="4"/>
  <c r="F25" i="4"/>
  <c r="C34" i="4"/>
  <c r="I35" i="1"/>
  <c r="F45" i="1"/>
  <c r="F42" i="1"/>
  <c r="E42" i="1"/>
  <c r="F48" i="1"/>
  <c r="G13" i="4"/>
  <c r="G14" i="4"/>
  <c r="E25" i="4"/>
  <c r="G25" i="4"/>
  <c r="C30" i="4"/>
  <c r="E26" i="4"/>
  <c r="G26" i="4"/>
  <c r="E30" i="4"/>
  <c r="D14" i="1"/>
  <c r="F46" i="1"/>
  <c r="F49" i="1"/>
  <c r="D49" i="1"/>
  <c r="E50" i="1"/>
  <c r="F50" i="1"/>
  <c r="C50" i="1"/>
  <c r="B50" i="1"/>
  <c r="E49" i="1"/>
  <c r="E6" i="1"/>
  <c r="C3" i="7"/>
  <c r="F43" i="1"/>
  <c r="F40" i="1"/>
  <c r="E26" i="1"/>
  <c r="C36" i="1"/>
  <c r="E7" i="3"/>
  <c r="C35" i="1"/>
  <c r="B18" i="1"/>
  <c r="D6" i="4"/>
  <c r="E6" i="4"/>
  <c r="D11" i="4"/>
  <c r="E16" i="1"/>
  <c r="C11" i="4"/>
  <c r="C12" i="7"/>
  <c r="C36" i="3"/>
  <c r="C33" i="3"/>
  <c r="C17" i="3"/>
  <c r="C12" i="3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6" i="7"/>
  <c r="G34" i="4"/>
  <c r="G6" i="7"/>
  <c r="E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G7" i="7"/>
  <c r="G16" i="3"/>
  <c r="I8" i="7"/>
  <c r="I10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13" i="7"/>
  <c r="I4" i="3"/>
  <c r="D4" i="3"/>
  <c r="D6" i="1"/>
  <c r="C29" i="4"/>
  <c r="C3" i="4"/>
  <c r="E3" i="7"/>
  <c r="C15" i="4"/>
  <c r="B3" i="4"/>
  <c r="C17" i="4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3" i="4"/>
  <c r="G3" i="7"/>
  <c r="E3" i="4"/>
  <c r="C58" i="3"/>
  <c r="C9" i="7"/>
  <c r="C11" i="7"/>
  <c r="E11" i="7"/>
  <c r="B3" i="7"/>
  <c r="C10" i="7"/>
  <c r="C15" i="7"/>
  <c r="C18" i="7"/>
  <c r="C4" i="4"/>
  <c r="E7" i="7"/>
  <c r="G11" i="7"/>
  <c r="G12" i="7"/>
  <c r="E12" i="7"/>
  <c r="C7" i="4"/>
  <c r="C8" i="4"/>
  <c r="C9" i="4"/>
  <c r="C10" i="4"/>
  <c r="E9" i="7"/>
  <c r="G9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I46" i="3"/>
  <c r="E19" i="3"/>
  <c r="I15" i="3"/>
  <c r="E31" i="3"/>
  <c r="E16" i="3"/>
  <c r="E20" i="3"/>
  <c r="C24" i="3"/>
  <c r="I8" i="3"/>
  <c r="E8" i="7"/>
  <c r="E10" i="7"/>
  <c r="E15" i="7"/>
  <c r="E16" i="7"/>
  <c r="E18" i="7"/>
  <c r="G8" i="7"/>
  <c r="G10" i="7"/>
  <c r="G15" i="7"/>
  <c r="D52" i="3"/>
  <c r="C20" i="4"/>
  <c r="D20" i="4"/>
  <c r="I53" i="3"/>
  <c r="C7" i="1"/>
  <c r="C44" i="3"/>
  <c r="C25" i="3"/>
  <c r="I7" i="3"/>
  <c r="E14" i="7"/>
  <c r="I14" i="7"/>
  <c r="I3" i="7"/>
  <c r="F3" i="4"/>
  <c r="G4" i="4"/>
  <c r="B24" i="4"/>
  <c r="G2" i="4"/>
  <c r="G13" i="7"/>
  <c r="D4" i="4"/>
  <c r="E17" i="7"/>
  <c r="G14" i="7"/>
  <c r="E13" i="7"/>
  <c r="G16" i="7"/>
  <c r="I16" i="7"/>
  <c r="I18" i="7"/>
  <c r="F4" i="4"/>
  <c r="C45" i="3"/>
  <c r="E12" i="3"/>
  <c r="G18" i="7"/>
  <c r="E4" i="4"/>
  <c r="D7" i="4"/>
  <c r="D8" i="4"/>
  <c r="D9" i="4"/>
  <c r="D10" i="4"/>
  <c r="D5" i="4"/>
  <c r="F8" i="4"/>
  <c r="F9" i="4"/>
  <c r="F15" i="4"/>
  <c r="F5" i="4"/>
  <c r="D53" i="5"/>
  <c r="E7" i="4"/>
  <c r="E8" i="4"/>
  <c r="E9" i="4"/>
  <c r="E5" i="4"/>
  <c r="I17" i="7"/>
  <c r="G17" i="7"/>
  <c r="E35" i="3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I6" i="3"/>
  <c r="D36" i="5"/>
  <c r="C33" i="2"/>
  <c r="E33" i="2"/>
  <c r="D33" i="2"/>
  <c r="D34" i="2"/>
  <c r="D6" i="5"/>
  <c r="D55" i="5"/>
  <c r="E32" i="1"/>
  <c r="E33" i="1"/>
  <c r="E58" i="3"/>
  <c r="D58" i="3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E49" i="5"/>
  <c r="J9" i="1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E18" i="5"/>
  <c r="C26" i="4"/>
  <c r="E45" i="3"/>
  <c r="D45" i="3"/>
  <c r="D25" i="3"/>
  <c r="E45" i="2"/>
  <c r="E35" i="2"/>
  <c r="D45" i="2"/>
  <c r="D35" i="2"/>
  <c r="I25" i="3"/>
  <c r="J25" i="3"/>
  <c r="D62" i="5"/>
  <c r="E62" i="5"/>
  <c r="J24" i="3"/>
  <c r="E17" i="2"/>
  <c r="I17" i="2"/>
  <c r="D17" i="2"/>
  <c r="D46" i="3"/>
  <c r="I45" i="3"/>
  <c r="J45" i="3"/>
  <c r="I10" i="1"/>
  <c r="E50" i="3"/>
  <c r="J44" i="3"/>
  <c r="D18" i="5"/>
  <c r="E6" i="5"/>
  <c r="D50" i="3"/>
  <c r="D6" i="3"/>
  <c r="D7" i="3"/>
  <c r="C21" i="4"/>
  <c r="D60" i="3"/>
  <c r="D21" i="4"/>
  <c r="G21" i="4"/>
  <c r="G18" i="4"/>
  <c r="G19" i="4"/>
  <c r="D49" i="3"/>
  <c r="H16" i="1"/>
  <c r="E6" i="3"/>
  <c r="E20" i="4"/>
  <c r="J16" i="1"/>
  <c r="J10" i="1"/>
  <c r="F16" i="1"/>
  <c r="F13" i="4"/>
  <c r="F14" i="4"/>
  <c r="J18" i="1"/>
  <c r="F18" i="1"/>
  <c r="G8" i="4"/>
  <c r="G9" i="4"/>
  <c r="G12" i="4"/>
  <c r="I36" i="1"/>
  <c r="G15" i="4"/>
  <c r="F34" i="4"/>
  <c r="E34" i="4"/>
  <c r="C11" i="1"/>
  <c r="D12" i="5"/>
  <c r="E64" i="5"/>
  <c r="D5" i="5"/>
  <c r="D64" i="5"/>
  <c r="E7" i="5"/>
  <c r="D7" i="5"/>
  <c r="F41" i="1"/>
  <c r="D8" i="5"/>
  <c r="E8" i="5"/>
  <c r="F39" i="1"/>
  <c r="E5" i="5"/>
  <c r="F14" i="1"/>
  <c r="C33" i="4"/>
  <c r="H14" i="1"/>
  <c r="J25" i="1"/>
  <c r="D30" i="4"/>
  <c r="F33" i="4"/>
  <c r="D16" i="1"/>
  <c r="B17" i="1"/>
  <c r="J17" i="1"/>
  <c r="D18" i="1"/>
  <c r="E33" i="4"/>
  <c r="D17" i="1"/>
  <c r="F17" i="1"/>
</calcChain>
</file>

<file path=xl/sharedStrings.xml><?xml version="1.0" encoding="utf-8"?>
<sst xmlns="http://schemas.openxmlformats.org/spreadsheetml/2006/main" count="398" uniqueCount="336">
  <si>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</si>
  <si>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</si>
  <si>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</si>
  <si>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</si>
  <si>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</si>
  <si>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</si>
  <si>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</si>
  <si>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</si>
  <si>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</si>
  <si>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</si>
  <si>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</si>
  <si>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</si>
  <si>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</si>
  <si>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</si>
  <si>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</si>
  <si>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</si>
  <si>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</si>
  <si>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</si>
  <si>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</si>
  <si>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</si>
  <si>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</si>
  <si>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</si>
  <si>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</si>
  <si>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</si>
  <si>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</si>
  <si>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</si>
  <si>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</si>
  <si>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</si>
  <si>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</si>
  <si>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</si>
  <si>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</si>
  <si>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</si>
  <si>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</si>
  <si>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</si>
  <si>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</si>
  <si>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</si>
  <si>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</si>
  <si>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</si>
  <si>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</si>
  <si>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</si>
  <si>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</si>
  <si>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</si>
  <si>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</si>
  <si>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</si>
  <si>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</si>
  <si>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</si>
  <si>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</si>
  <si>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</si>
  <si>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</si>
  <si>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</si>
  <si>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</si>
  <si>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</si>
  <si>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</si>
  <si>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</si>
  <si>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</si>
  <si>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</si>
  <si>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</si>
  <si>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</si>
  <si>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</si>
  <si>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</si>
  <si>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</si>
  <si>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</si>
  <si>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</si>
  <si>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</si>
  <si>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</si>
  <si>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</si>
  <si>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</si>
  <si>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</si>
  <si>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</si>
  <si>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</si>
  <si>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</si>
  <si>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</si>
  <si>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</si>
  <si>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</si>
  <si>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</si>
  <si>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</si>
  <si>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</si>
  <si>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</si>
  <si>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</si>
  <si>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</si>
  <si>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</si>
  <si>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</si>
  <si>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</si>
  <si>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</si>
  <si>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</si>
  <si>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</si>
  <si>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</si>
  <si>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</si>
  <si>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</si>
  <si>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</si>
  <si>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</si>
  <si>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</si>
  <si>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</si>
  <si>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</si>
  <si>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</si>
  <si>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</si>
  <si>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</si>
  <si>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</si>
  <si>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</si>
  <si>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</si>
  <si>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</si>
  <si>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</si>
  <si>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</si>
  <si>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</si>
  <si>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</si>
  <si>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</si>
  <si>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</si>
  <si>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</si>
  <si>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</si>
  <si>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</si>
  <si>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</si>
  <si>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</si>
  <si>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</si>
  <si>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</si>
  <si>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</si>
  <si>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</si>
  <si>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</si>
  <si>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</si>
  <si>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</si>
  <si>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</si>
  <si>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</si>
  <si>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</si>
  <si>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</si>
  <si>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</si>
  <si>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</si>
  <si>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</si>
  <si>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</si>
  <si>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</si>
  <si>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</si>
  <si>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</si>
  <si>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</si>
  <si>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</si>
  <si>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</si>
  <si>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</si>
  <si>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</si>
  <si>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</si>
  <si>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</si>
  <si>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</si>
  <si>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</si>
  <si>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</si>
  <si>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</si>
  <si>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</si>
  <si>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</si>
  <si>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</si>
  <si>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</si>
  <si>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</si>
  <si>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</si>
  <si>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</si>
  <si>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</si>
  <si>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</si>
  <si>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</si>
  <si>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</si>
  <si>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</si>
  <si>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</si>
  <si>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</si>
  <si>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</si>
  <si>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</si>
  <si>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</si>
  <si>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</si>
  <si>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</si>
  <si>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</si>
  <si>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</si>
  <si>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</si>
  <si>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</si>
  <si>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</si>
  <si>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</si>
  <si>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</si>
  <si>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</si>
  <si>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</si>
  <si>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</si>
  <si>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</si>
  <si>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</si>
  <si>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</si>
  <si>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</si>
  <si>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</si>
  <si>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</si>
  <si>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</si>
  <si>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</si>
  <si>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</si>
  <si>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</si>
  <si>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</si>
  <si>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</si>
  <si>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</si>
  <si>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</si>
  <si>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</si>
  <si>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</si>
  <si>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</si>
  <si>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</si>
  <si>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</si>
  <si>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</si>
  <si>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</si>
  <si>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</si>
  <si>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</si>
  <si>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</si>
  <si>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</si>
  <si>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</si>
  <si>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</si>
  <si>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</si>
  <si>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</si>
  <si>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</si>
  <si>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</si>
  <si>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</si>
  <si>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</si>
  <si>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</si>
  <si>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</si>
  <si>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</si>
  <si>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</si>
  <si>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</si>
  <si>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</si>
  <si>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</si>
  <si>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</si>
  <si>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</si>
  <si>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</si>
  <si>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</si>
  <si>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</si>
  <si>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</si>
  <si>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</si>
  <si>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</si>
  <si>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</si>
  <si>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</si>
  <si>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</si>
  <si>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</si>
  <si>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</si>
  <si>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</si>
  <si>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</si>
  <si>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</si>
  <si>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</si>
  <si>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</si>
  <si>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</si>
  <si>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</si>
  <si>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</si>
  <si>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</si>
  <si>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</si>
  <si>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</si>
  <si>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</si>
  <si>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</si>
  <si>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</si>
  <si>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</si>
  <si>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</si>
  <si>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</si>
  <si>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</si>
  <si>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</si>
  <si>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</si>
  <si>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</si>
  <si>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</si>
  <si>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</si>
  <si>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</si>
  <si>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</si>
  <si>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</si>
  <si>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</si>
  <si>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</si>
  <si>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</si>
  <si>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</si>
  <si>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</si>
  <si>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</si>
  <si>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</si>
  <si>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</si>
  <si>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</si>
  <si>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</si>
  <si>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</si>
  <si>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</si>
  <si>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</si>
  <si>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</si>
  <si>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</si>
  <si>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</si>
  <si>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</si>
  <si>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</si>
  <si>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</si>
  <si>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</si>
  <si>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</si>
  <si>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</si>
  <si>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</si>
  <si>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</si>
  <si>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</si>
  <si>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</si>
  <si>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</si>
  <si>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</si>
  <si>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</si>
  <si>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</si>
  <si>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</si>
  <si>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</si>
  <si>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</si>
  <si>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</si>
  <si>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</si>
  <si>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</si>
  <si>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</si>
  <si>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</si>
  <si>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</si>
  <si>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</si>
  <si>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</si>
  <si>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</si>
  <si>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</si>
  <si>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</si>
  <si>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</si>
  <si>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</si>
  <si>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</si>
  <si>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</si>
  <si>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</si>
  <si>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</si>
  <si>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</si>
  <si>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</si>
  <si>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6186.HK</t>
  </si>
  <si>
    <t>CHINA FEIHE</t>
  </si>
  <si>
    <t>CNY</t>
  </si>
  <si>
    <t>Biological assets</t>
  </si>
  <si>
    <t>PP&amp;E &amp; related assets</t>
  </si>
  <si>
    <t>lags useful revenue details</t>
  </si>
  <si>
    <t>原料奶</t>
  </si>
  <si>
    <t>乳製品及營養補充劑產品</t>
  </si>
  <si>
    <t>PV of Value Inflow</t>
  </si>
  <si>
    <t>Consumer Staples, 15.1y</t>
  </si>
  <si>
    <t>It's impossible to estimate the future growth</t>
  </si>
  <si>
    <t>Base Case</t>
  </si>
  <si>
    <t>Reasonable Case</t>
  </si>
  <si>
    <t>Slow Growers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</si>
  <si>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</si>
  <si>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</si>
  <si>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</si>
  <si>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</si>
  <si>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</si>
  <si>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</si>
  <si>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</si>
  <si>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</si>
  <si>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</si>
  <si>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</si>
  <si>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</si>
  <si>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</si>
  <si>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</si>
  <si>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</si>
  <si>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</si>
  <si>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R = A/B</t>
  </si>
  <si>
    <t>capped at</t>
  </si>
  <si>
    <t>W = The estimated probability of win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</si>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</sst>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76" formatCode="_(* #,##0.00_);_(* \(#,##0.00\);_(* &quot;-&quot;??_);_(@_)"/>
    <numFmt numFmtId="177" formatCode="&quot;$&quot;#,##0_);[Red]\(&quot;$&quot;#,##0\)"/>
    <numFmt numFmtId="178" formatCode="&quot;$&quot;#,##0.00_);[Red]\(&quot;$&quot;#,##0.00\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&quot;Total &quot;0%"/>
    <numFmt numFmtId="191" formatCode="#,##0;[Red]\(#,##0\);\-"/>
    <numFmt numFmtId="192" formatCode="&quot;Current Price = &quot;0.00"/>
    <numFmt numFmtId="193" formatCode="yyyy\-mm\-dd;@"/>
    <numFmt numFmtId="194" formatCode="_(* #,##0_);_(* \(#,##0\);_(* &quot;-&quot;??_);_(@_)"/>
    <numFmt numFmtId="195" formatCode="&quot;Discount rate = &quot;0.00%"/>
    <numFmt numFmtId="196" formatCode="#,##0.00;[Red]#,##0.00"/>
    <numFmt numFmtId="197" formatCode="&quot;in&quot;\ 0\ &quot;Months&quot;"/>
    <numFmt numFmtId="198" formatCode="&quot;Breakeven Price = &quot;0.00"/>
    <numFmt numFmtId="199" formatCode="&quot;Next Action Price = &quot;0.00"/>
    <numFmt numFmtId="200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17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77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81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82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82" fontId="1" fillId="0" borderId="41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82" fontId="1" fillId="0" borderId="44" xfId="0" applyNumberFormat="1" applyFont="1" applyBorder="1" applyAlignment="1">
      <alignment horizontal="center"/>
    </xf>
    <xf numFmtId="192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81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94" fontId="5" fillId="0" borderId="0" xfId="1" applyNumberFormat="1" applyFont="1"/>
    <xf numFmtId="17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2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81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96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91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97" fontId="2" fillId="8" borderId="47" xfId="0" applyNumberFormat="1" applyFont="1" applyFill="1" applyBorder="1" applyAlignment="1">
      <alignment horizontal="center"/>
    </xf>
    <xf numFmtId="179" fontId="7" fillId="0" borderId="89" xfId="0" applyNumberFormat="1" applyFont="1" applyBorder="1" applyAlignment="1">
      <alignment horizontal="center"/>
    </xf>
    <xf numFmtId="193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93" fontId="15" fillId="7" borderId="2" xfId="0" applyNumberFormat="1" applyFont="1" applyFill="1" applyBorder="1" applyAlignment="1">
      <alignment horizontal="center"/>
    </xf>
    <xf numFmtId="193" fontId="18" fillId="4" borderId="5" xfId="0" applyNumberFormat="1" applyFont="1" applyFill="1" applyBorder="1" applyAlignment="1">
      <alignment horizontal="center"/>
    </xf>
    <xf numFmtId="193" fontId="18" fillId="4" borderId="23" xfId="0" applyNumberFormat="1" applyFont="1" applyFill="1" applyBorder="1" applyAlignment="1">
      <alignment horizontal="center"/>
    </xf>
    <xf numFmtId="195" fontId="7" fillId="16" borderId="59" xfId="0" applyNumberFormat="1" applyFont="1" applyFill="1" applyBorder="1" applyAlignment="1">
      <alignment horizontal="center"/>
    </xf>
    <xf numFmtId="191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98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3" fontId="15" fillId="7" borderId="94" xfId="0" applyNumberFormat="1" applyFont="1" applyFill="1" applyBorder="1" applyAlignment="1">
      <alignment horizontal="center"/>
    </xf>
    <xf numFmtId="188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88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93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99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200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88" fontId="2" fillId="8" borderId="9" xfId="0" applyNumberFormat="1" applyFont="1" applyFill="1" applyBorder="1" applyAlignment="1">
      <alignment horizontal="center"/>
    </xf>
    <xf numFmtId="186" fontId="1" fillId="0" borderId="27" xfId="0" applyNumberFormat="1" applyFont="1" applyBorder="1" applyAlignment="1">
      <alignment horizontal="center"/>
    </xf>
    <xf numFmtId="186" fontId="1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84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83" fontId="1" fillId="0" borderId="13" xfId="0" applyNumberFormat="1" applyFont="1" applyBorder="1" applyAlignment="1">
      <alignment horizontal="center"/>
    </xf>
    <xf numFmtId="190" fontId="1" fillId="0" borderId="13" xfId="0" applyNumberFormat="1" applyFont="1" applyBorder="1" applyAlignment="1">
      <alignment horizontal="center"/>
    </xf>
    <xf numFmtId="185" fontId="1" fillId="0" borderId="21" xfId="0" applyNumberFormat="1" applyFont="1" applyBorder="1" applyAlignment="1">
      <alignment horizontal="center"/>
    </xf>
    <xf numFmtId="185" fontId="1" fillId="0" borderId="22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8" fontId="3" fillId="0" borderId="13" xfId="0" applyNumberFormat="1" applyFont="1" applyBorder="1" applyAlignment="1">
      <alignment horizontal="center"/>
    </xf>
    <xf numFmtId="17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177" fontId="3" fillId="0" borderId="45" xfId="0" applyNumberFormat="1" applyFont="1" applyBorder="1" applyAlignment="1">
      <alignment horizontal="center"/>
    </xf>
    <xf numFmtId="177" fontId="3" fillId="0" borderId="46" xfId="0" applyNumberFormat="1" applyFont="1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79" fontId="2" fillId="9" borderId="16" xfId="0" applyNumberFormat="1" applyFont="1" applyFill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193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80" fontId="5" fillId="0" borderId="47" xfId="0" applyNumberFormat="1" applyFont="1" applyBorder="1" applyAlignment="1">
      <alignment horizontal="center"/>
    </xf>
    <xf numFmtId="180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5" fillId="0" borderId="0" xfId="0" applyFont="1" applyAlignment="1">
      <alignment horizontal="center"/>
    </xf>
    <xf numFmtId="186" fontId="1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77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177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78" fontId="4" fillId="9" borderId="21" xfId="0" applyNumberFormat="1" applyFont="1" applyFill="1" applyBorder="1" applyAlignment="1">
      <alignment horizontal="center"/>
    </xf>
    <xf numFmtId="178" fontId="4" fillId="9" borderId="22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</cellXfs>
  <cellStyles count="3">
    <cellStyle name="常规" xfId="0" builtinId="0"/>
    <cellStyle name="超链接" xfId="2" builtinId="8"/>
    <cellStyle name="千位分隔" xfId="1" builtinId="3"/>
  </cellStyles>
  <dxfs count="17"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7" zoomScaleNormal="100" workbookViewId="0">
      <selection activeCell="C29" sqref="C29:D29"/>
    </sheetView>
  </sheetViews>
  <sheetFormatPr defaultColWidth="12.46484375" defaultRowHeight="15" customHeight="1" x14ac:dyDescent="0.4"/>
  <cols>
    <col min="1" max="1" width="2.46484375" style="3" customWidth="1"/>
    <col min="2" max="2" width="28.33203125" style="3" customWidth="1"/>
    <col min="3" max="10" width="14.796875" style="3" customWidth="1"/>
    <col min="11" max="11" width="14.4648437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307" t="str">
        <f>C3&amp;" : "&amp;C4</f>
        <v>6186.HK : CHINA FEIHE</v>
      </c>
      <c r="D2" s="12"/>
      <c r="E2" s="12"/>
      <c r="F2" s="12"/>
      <c r="G2" s="12"/>
      <c r="H2" s="12"/>
      <c r="I2" s="12"/>
      <c r="J2" s="12"/>
    </row>
    <row r="3" spans="1:12" ht="15.75" customHeight="1" x14ac:dyDescent="0.4">
      <c r="B3" s="16" t="s">
        <v>1</v>
      </c>
      <c r="C3" s="403" t="s">
        <v>301</v>
      </c>
      <c r="D3" s="404"/>
      <c r="E3" s="15"/>
      <c r="G3" s="7" t="s">
        <v>2</v>
      </c>
      <c r="I3" s="413" t="s">
        <v>3</v>
      </c>
      <c r="J3" s="414"/>
    </row>
    <row r="4" spans="1:12" ht="15.75" customHeight="1" x14ac:dyDescent="0.4">
      <c r="B4" s="5" t="s">
        <v>4</v>
      </c>
      <c r="C4" s="405" t="s">
        <v>302</v>
      </c>
      <c r="D4" s="406"/>
      <c r="E4" s="6"/>
      <c r="G4" s="5" t="s">
        <v>5</v>
      </c>
      <c r="I4" s="32">
        <v>5.81</v>
      </c>
      <c r="J4" s="33" t="s">
        <v>6</v>
      </c>
      <c r="K4" s="152"/>
    </row>
    <row r="5" spans="1:12" ht="15.75" customHeight="1" x14ac:dyDescent="0.4">
      <c r="B5" s="5" t="s">
        <v>7</v>
      </c>
      <c r="C5" s="407">
        <v>44501</v>
      </c>
      <c r="D5" s="406"/>
      <c r="E5" s="122" t="str">
        <f ca="1">IF(C5+30&gt;=TODAY(),"Patience Premium","")</f>
        <v/>
      </c>
      <c r="G5" s="5" t="s">
        <v>8</v>
      </c>
      <c r="I5" s="371">
        <v>9068251704</v>
      </c>
      <c r="J5" s="372"/>
      <c r="K5" s="151"/>
      <c r="L5" s="85"/>
    </row>
    <row r="6" spans="1:12" ht="15.75" customHeight="1" x14ac:dyDescent="0.4">
      <c r="B6" s="12" t="s">
        <v>257</v>
      </c>
      <c r="C6" s="269">
        <v>8</v>
      </c>
      <c r="D6" s="270">
        <f>EOMONTH(EDATE(Asset_Model!D9,C6),0)</f>
        <v>44985</v>
      </c>
      <c r="E6" s="346">
        <f>IF(Asset_Model!E9="FY",Asset_Model!D9,Data!C3)</f>
        <v>44561</v>
      </c>
      <c r="G6" s="134" t="s">
        <v>9</v>
      </c>
      <c r="H6" s="133"/>
      <c r="I6" s="415">
        <f>I4*I5/1000000</f>
        <v>52686.542400239996</v>
      </c>
      <c r="J6" s="416"/>
      <c r="K6" s="151"/>
    </row>
    <row r="7" spans="1:12" ht="15.75" customHeight="1" x14ac:dyDescent="0.4">
      <c r="B7" s="139" t="s">
        <v>10</v>
      </c>
      <c r="C7" s="145">
        <f>(Data!C39)/I4</f>
        <v>6.4386100234669175E-2</v>
      </c>
      <c r="D7" s="145">
        <f>(Data!C40)/I4</f>
        <v>6.920438946821819E-3</v>
      </c>
      <c r="E7" s="153"/>
      <c r="F7" s="6"/>
    </row>
    <row r="8" spans="1:12" ht="15.75" customHeight="1" x14ac:dyDescent="0.4">
      <c r="C8" s="96"/>
      <c r="E8" s="6"/>
      <c r="G8" s="21" t="s">
        <v>11</v>
      </c>
      <c r="H8" s="132"/>
      <c r="I8" s="6"/>
      <c r="J8" s="6"/>
    </row>
    <row r="9" spans="1:12" ht="15.75" customHeight="1" x14ac:dyDescent="0.4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6.69562633660109</v>
      </c>
      <c r="J9" s="48">
        <f>IF(I9="NNI","NNI",1/I9)</f>
        <v>0.14935122567004408</v>
      </c>
    </row>
    <row r="10" spans="1:12" ht="15.75" customHeight="1" x14ac:dyDescent="0.4">
      <c r="B10" s="3" t="s">
        <v>274</v>
      </c>
      <c r="C10" s="299" t="s">
        <v>275</v>
      </c>
      <c r="D10" s="299">
        <v>2.8999999999999998E-2</v>
      </c>
      <c r="E10" s="5"/>
      <c r="G10" s="5" t="s">
        <v>14</v>
      </c>
      <c r="I10" s="138">
        <f>I4/(Data!C28*I12*Data!C4/Common_Shares)</f>
        <v>2.053527802573671</v>
      </c>
      <c r="J10" s="130">
        <f>IF(Asset_Model!D60/'FCFF Model'!C4&lt;0,"Negative EV",Asset_Model!D60/'FCFF Model'!C4)</f>
        <v>6.5827328449025035</v>
      </c>
    </row>
    <row r="11" spans="1:12" ht="15.75" customHeight="1" thickBot="1" x14ac:dyDescent="0.45">
      <c r="B11" s="312" t="s">
        <v>276</v>
      </c>
      <c r="C11" s="383">
        <f ca="1">C12-D10</f>
        <v>5.1000000000000004E-2</v>
      </c>
      <c r="D11" s="384"/>
      <c r="E11" s="13"/>
      <c r="G11" s="5" t="s">
        <v>15</v>
      </c>
      <c r="H11" s="6"/>
      <c r="I11" s="380" t="s">
        <v>303</v>
      </c>
      <c r="J11" s="381"/>
    </row>
    <row r="12" spans="1:12" ht="15.75" customHeight="1" thickTop="1" x14ac:dyDescent="0.4">
      <c r="B12" s="313" t="s">
        <v>150</v>
      </c>
      <c r="C12" s="385">
        <f ca="1">IF(C10="CN",8%,6%)*IF($C$5+30&gt;=TODAY(),1.2,1)</f>
        <v>0.08</v>
      </c>
      <c r="D12" s="386"/>
      <c r="G12" s="134" t="s">
        <v>16</v>
      </c>
      <c r="H12" s="133"/>
      <c r="I12" s="135">
        <v>1.1452116568883259</v>
      </c>
      <c r="J12" s="136" t="str">
        <f>IF(I11=Dashboard!J4,J4,I11&amp;"/"&amp;Dashboard!J4)</f>
        <v>CNY/HKD</v>
      </c>
    </row>
    <row r="13" spans="1:12" ht="15.75" customHeight="1" x14ac:dyDescent="0.4"/>
    <row r="14" spans="1:12" ht="15.75" customHeight="1" x14ac:dyDescent="0.4">
      <c r="A14" s="10"/>
      <c r="B14" s="20" t="s">
        <v>17</v>
      </c>
      <c r="C14" s="127" t="s">
        <v>218</v>
      </c>
      <c r="D14" s="184">
        <f ca="1">MIN('FCFF Model'!C30,'FCFF Model'!E30)</f>
        <v>3.0211787458516843</v>
      </c>
      <c r="E14" s="127" t="s">
        <v>235</v>
      </c>
      <c r="F14" s="184">
        <f ca="1">MAX('FCFF Model'!C30,'FCFF Model'!E30)</f>
        <v>8.4865789595183294</v>
      </c>
      <c r="G14" s="185" t="s">
        <v>24</v>
      </c>
      <c r="H14" s="193">
        <f ca="1">IF('FCFF Model'!C33&lt;0, "Error", 'FCFF Model'!C33)</f>
        <v>6.3489847177870598</v>
      </c>
      <c r="I14" s="133"/>
      <c r="J14" s="133"/>
    </row>
    <row r="15" spans="1:12" ht="15.75" customHeight="1" x14ac:dyDescent="0.4">
      <c r="A15" s="6"/>
      <c r="B15" s="96"/>
      <c r="C15" s="238" t="s">
        <v>251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4">
      <c r="B16" s="131">
        <f>I4</f>
        <v>5.81</v>
      </c>
      <c r="C16" s="395">
        <v>0.1</v>
      </c>
      <c r="D16" s="159">
        <f ca="1">H14/B16-1-C16</f>
        <v>-7.2315459919000402E-3</v>
      </c>
      <c r="E16" s="390">
        <f>'FCFF Model'!D11*Exchange_Rate</f>
        <v>0.31115400717655817</v>
      </c>
      <c r="F16" s="161">
        <f>E16/B16</f>
        <v>5.3554906570836176E-2</v>
      </c>
      <c r="G16" s="398" t="s">
        <v>25</v>
      </c>
      <c r="H16" s="417">
        <f>('FCFF Model'!G19)*Exchange_Rate</f>
        <v>1.5537817075586255</v>
      </c>
      <c r="I16" s="398" t="s">
        <v>26</v>
      </c>
      <c r="J16" s="206">
        <f>B16-$H$16</f>
        <v>4.2562182924413738</v>
      </c>
    </row>
    <row r="17" spans="1:10" ht="15.75" customHeight="1" x14ac:dyDescent="0.4">
      <c r="B17" s="289">
        <f ca="1">H14/(1+C16)</f>
        <v>5.7718042888973269</v>
      </c>
      <c r="C17" s="396"/>
      <c r="D17" s="288">
        <f ca="1">H14/B17-1-C16</f>
        <v>0</v>
      </c>
      <c r="E17" s="391"/>
      <c r="F17" s="162">
        <f ca="1">E16/B17</f>
        <v>5.3909313552972619E-2</v>
      </c>
      <c r="G17" s="399"/>
      <c r="H17" s="418"/>
      <c r="I17" s="399"/>
      <c r="J17" s="205">
        <f ca="1">B17-$H$16</f>
        <v>4.2180225813387011</v>
      </c>
    </row>
    <row r="18" spans="1:10" ht="15.75" customHeight="1" x14ac:dyDescent="0.4">
      <c r="B18" s="349">
        <f>C35</f>
        <v>4.8</v>
      </c>
      <c r="C18" s="397"/>
      <c r="D18" s="160">
        <f ca="1">H14/B18-1-C16</f>
        <v>0.22270514953897078</v>
      </c>
      <c r="E18" s="392"/>
      <c r="F18" s="163">
        <f>E16/B18</f>
        <v>6.4823751495116294E-2</v>
      </c>
      <c r="G18" s="400"/>
      <c r="H18" s="419"/>
      <c r="I18" s="400"/>
      <c r="J18" s="207">
        <f>B18-$H$16</f>
        <v>3.2462182924413741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20" t="s">
        <v>27</v>
      </c>
      <c r="C20" s="5" t="s">
        <v>255</v>
      </c>
      <c r="D20" s="290" t="s">
        <v>314</v>
      </c>
      <c r="E20" s="266" t="s">
        <v>265</v>
      </c>
      <c r="G20" s="6"/>
      <c r="H20" s="6"/>
      <c r="I20" s="6"/>
      <c r="J20" s="6"/>
    </row>
    <row r="21" spans="1:10" ht="15.75" customHeight="1" x14ac:dyDescent="0.4">
      <c r="A21" s="6"/>
      <c r="B21" s="24" t="s">
        <v>28</v>
      </c>
      <c r="C21" s="410"/>
      <c r="D21" s="411"/>
      <c r="E21" s="411"/>
      <c r="F21" s="411"/>
      <c r="G21" s="411"/>
      <c r="H21" s="411"/>
      <c r="I21" s="411"/>
      <c r="J21" s="412"/>
    </row>
    <row r="22" spans="1:10" ht="52.5" customHeight="1" x14ac:dyDescent="0.4">
      <c r="A22" s="6"/>
      <c r="B22" s="24" t="s">
        <v>29</v>
      </c>
      <c r="C22" s="382"/>
      <c r="D22" s="377"/>
      <c r="E22" s="377"/>
      <c r="F22" s="377"/>
      <c r="G22" s="382"/>
      <c r="H22" s="382"/>
      <c r="I22" s="377"/>
      <c r="J22" s="377"/>
    </row>
    <row r="23" spans="1:10" ht="52.5" customHeight="1" x14ac:dyDescent="0.4">
      <c r="A23" s="6"/>
      <c r="B23" s="25" t="s">
        <v>30</v>
      </c>
      <c r="C23" s="393"/>
      <c r="D23" s="394"/>
      <c r="E23" s="394"/>
      <c r="F23" s="394"/>
      <c r="G23" s="393"/>
      <c r="H23" s="393"/>
      <c r="I23" s="394"/>
      <c r="J23" s="394"/>
    </row>
    <row r="24" spans="1:10" ht="15.75" customHeight="1" x14ac:dyDescent="0.4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4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47">
        <v>0.15</v>
      </c>
      <c r="I25" s="30" t="s">
        <v>318</v>
      </c>
      <c r="J25" s="348">
        <f ca="1">H14/(H25+C16+1)</f>
        <v>5.0791877742296476</v>
      </c>
    </row>
    <row r="26" spans="1:10" ht="15.75" customHeight="1" x14ac:dyDescent="0.4">
      <c r="B26" s="23" t="s">
        <v>33</v>
      </c>
      <c r="C26" s="408">
        <v>44501</v>
      </c>
      <c r="D26" s="409"/>
      <c r="E26" s="387" t="str">
        <f>IF(C26="","","Action_Planning")</f>
        <v>Action_Planning</v>
      </c>
      <c r="F26" s="388"/>
      <c r="G26" s="388"/>
      <c r="H26" s="389"/>
      <c r="I26" s="420" t="s">
        <v>34</v>
      </c>
      <c r="J26" s="420"/>
    </row>
    <row r="27" spans="1:10" ht="15.75" customHeight="1" x14ac:dyDescent="0.4">
      <c r="B27" s="23" t="s">
        <v>35</v>
      </c>
      <c r="C27" s="367">
        <f>C31/D25</f>
        <v>7.3866666666666664E-2</v>
      </c>
      <c r="D27" s="366"/>
      <c r="E27" s="365">
        <f>E31/D25</f>
        <v>6.4000000000000001E-2</v>
      </c>
      <c r="F27" s="366"/>
      <c r="G27" s="369">
        <f>G31/D25</f>
        <v>0</v>
      </c>
      <c r="H27" s="370"/>
      <c r="I27" s="368">
        <f>C27+E27+G27</f>
        <v>0.13786666666666667</v>
      </c>
      <c r="J27" s="368"/>
    </row>
    <row r="28" spans="1:10" ht="15.75" customHeight="1" x14ac:dyDescent="0.4">
      <c r="B28" s="23" t="s">
        <v>36</v>
      </c>
      <c r="C28" s="401">
        <v>4000</v>
      </c>
      <c r="D28" s="377"/>
      <c r="E28" s="401">
        <v>8000</v>
      </c>
      <c r="F28" s="377"/>
      <c r="G28" s="371"/>
      <c r="H28" s="372"/>
      <c r="I28" s="426">
        <f>C28+E28+G28</f>
        <v>12000</v>
      </c>
      <c r="J28" s="426"/>
    </row>
    <row r="29" spans="1:10" ht="15.75" customHeight="1" x14ac:dyDescent="0.4">
      <c r="B29" s="23" t="s">
        <v>37</v>
      </c>
      <c r="C29" s="376">
        <v>11.08</v>
      </c>
      <c r="D29" s="377"/>
      <c r="E29" s="376">
        <v>4.8</v>
      </c>
      <c r="F29" s="377"/>
      <c r="G29" s="435"/>
      <c r="H29" s="436"/>
      <c r="I29" s="373"/>
      <c r="J29" s="373"/>
    </row>
    <row r="30" spans="1:10" ht="15.75" customHeight="1" x14ac:dyDescent="0.4">
      <c r="B30" s="23" t="s">
        <v>38</v>
      </c>
      <c r="C30" s="422">
        <f>C29*$I$5/1000000</f>
        <v>100476.22888032001</v>
      </c>
      <c r="D30" s="431"/>
      <c r="E30" s="422">
        <f>E29*$I$5/1000000</f>
        <v>43527.608179199997</v>
      </c>
      <c r="F30" s="431"/>
      <c r="G30" s="359">
        <f>G29*$I$5/1000000</f>
        <v>0</v>
      </c>
      <c r="H30" s="360"/>
      <c r="I30" s="374"/>
      <c r="J30" s="374"/>
    </row>
    <row r="31" spans="1:10" ht="15.75" customHeight="1" x14ac:dyDescent="0.4">
      <c r="B31" s="2" t="s">
        <v>39</v>
      </c>
      <c r="C31" s="432">
        <f>C28*C29</f>
        <v>44320</v>
      </c>
      <c r="D31" s="433"/>
      <c r="E31" s="425">
        <f>E28*E29</f>
        <v>38400</v>
      </c>
      <c r="F31" s="434"/>
      <c r="G31" s="378">
        <f>G28*G29</f>
        <v>0</v>
      </c>
      <c r="H31" s="379"/>
      <c r="I31" s="425">
        <f>C31+E31+G31</f>
        <v>82720</v>
      </c>
      <c r="J31" s="425"/>
    </row>
    <row r="32" spans="1:10" ht="15.75" customHeight="1" x14ac:dyDescent="0.4">
      <c r="B32" s="1" t="s">
        <v>40</v>
      </c>
      <c r="C32" s="427"/>
      <c r="D32" s="428"/>
      <c r="E32" s="375">
        <f>IF(C31=0,"-",(C31+E31)/(C28+E28))</f>
        <v>6.8933333333333335</v>
      </c>
      <c r="F32" s="366"/>
      <c r="G32" s="117"/>
      <c r="H32" s="117"/>
      <c r="I32" s="375">
        <f>IF(I31=0,"",I31/I28)</f>
        <v>6.8933333333333335</v>
      </c>
      <c r="J32" s="375"/>
    </row>
    <row r="33" spans="2:10" ht="15.75" customHeight="1" x14ac:dyDescent="0.4">
      <c r="B33" s="1" t="s">
        <v>41</v>
      </c>
      <c r="C33" s="429"/>
      <c r="D33" s="430"/>
      <c r="E33" s="422">
        <f>IF(E32="-","-",E32*$I$5/1000000)</f>
        <v>62510.481746240002</v>
      </c>
      <c r="F33" s="431"/>
      <c r="G33" s="118"/>
      <c r="H33" s="118"/>
      <c r="I33" s="422">
        <f>IF(I32="","",I32*$I$5/1000000)</f>
        <v>62510.481746240002</v>
      </c>
      <c r="J33" s="422"/>
    </row>
    <row r="34" spans="2:10" ht="15.75" customHeight="1" x14ac:dyDescent="0.4"/>
    <row r="35" spans="2:10" ht="15.75" customHeight="1" x14ac:dyDescent="0.4">
      <c r="B35" s="146" t="s">
        <v>315</v>
      </c>
      <c r="C35" s="363">
        <f>E29</f>
        <v>4.8</v>
      </c>
      <c r="D35" s="364"/>
      <c r="G35" s="361" t="s">
        <v>319</v>
      </c>
      <c r="H35" s="362"/>
      <c r="I35" s="363">
        <f ca="1">'FCFF Model'!C34*0.8</f>
        <v>7.2561683640432193</v>
      </c>
      <c r="J35" s="364"/>
    </row>
    <row r="36" spans="2:10" ht="15.75" customHeight="1" x14ac:dyDescent="0.4">
      <c r="B36" s="146" t="s">
        <v>316</v>
      </c>
      <c r="C36" s="401">
        <f>E28</f>
        <v>8000</v>
      </c>
      <c r="D36" s="402"/>
      <c r="G36" s="421" t="s">
        <v>323</v>
      </c>
      <c r="H36" s="421"/>
      <c r="I36" s="423">
        <f ca="1">I35/C29-1</f>
        <v>-0.34511115847985385</v>
      </c>
      <c r="J36" s="424"/>
    </row>
    <row r="37" spans="2:10" ht="15.75" customHeight="1" x14ac:dyDescent="0.4"/>
    <row r="38" spans="2:10" ht="15.75" customHeight="1" x14ac:dyDescent="0.4">
      <c r="B38" s="21" t="s">
        <v>324</v>
      </c>
      <c r="G38" s="72" t="s">
        <v>141</v>
      </c>
    </row>
    <row r="39" spans="2:10" ht="15.75" customHeight="1" x14ac:dyDescent="0.4">
      <c r="B39" s="3" t="s">
        <v>325</v>
      </c>
      <c r="F39" s="214">
        <f>'Qualitative Analysis'!E8</f>
        <v>0.4</v>
      </c>
    </row>
    <row r="40" spans="2:10" ht="15.75" customHeight="1" x14ac:dyDescent="0.4">
      <c r="B40" s="3" t="s">
        <v>326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 x14ac:dyDescent="0.4">
      <c r="B41" s="3" t="s">
        <v>327</v>
      </c>
      <c r="E41" s="350"/>
      <c r="F41" s="351">
        <f>'Qualitative Analysis'!E64</f>
        <v>0.60888605442176869</v>
      </c>
    </row>
    <row r="42" spans="2:10" ht="15.75" customHeight="1" x14ac:dyDescent="0.4">
      <c r="B42" s="3" t="s">
        <v>333</v>
      </c>
      <c r="E42" s="350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 x14ac:dyDescent="0.4">
      <c r="B43" s="3" t="s">
        <v>334</v>
      </c>
      <c r="F43" s="355">
        <f>AVERAGE(80%*0.5,0.6)</f>
        <v>0.5</v>
      </c>
    </row>
    <row r="44" spans="2:10" ht="15.75" customHeight="1" x14ac:dyDescent="0.4"/>
    <row r="45" spans="2:10" ht="15.75" customHeight="1" x14ac:dyDescent="0.4">
      <c r="B45" s="3" t="s">
        <v>328</v>
      </c>
      <c r="F45" s="351">
        <f ca="1">I35/C29-1</f>
        <v>-0.34511115847985385</v>
      </c>
    </row>
    <row r="46" spans="2:10" ht="15.75" customHeight="1" x14ac:dyDescent="0.4">
      <c r="B46" s="3" t="s">
        <v>329</v>
      </c>
      <c r="F46" s="351">
        <f ca="1">D14/C29-1</f>
        <v>-0.72733043810002851</v>
      </c>
    </row>
    <row r="47" spans="2:10" ht="15.75" customHeight="1" x14ac:dyDescent="0.4"/>
    <row r="48" spans="2:10" ht="15.75" customHeight="1" x14ac:dyDescent="0.4">
      <c r="B48" s="3" t="s">
        <v>332</v>
      </c>
      <c r="F48" s="214">
        <f ca="1">IF(F45&lt;=0,0,AVERAGE(F39:F41,1-F43,E42))</f>
        <v>0</v>
      </c>
      <c r="G48" s="74"/>
    </row>
    <row r="49" spans="2:8" ht="15.75" customHeight="1" x14ac:dyDescent="0.4">
      <c r="B49" s="3" t="s">
        <v>330</v>
      </c>
      <c r="D49" s="452">
        <f ca="1">IF(F42="Strongly Agree",2,IF(F42="Agree",3,4))</f>
        <v>4</v>
      </c>
      <c r="E49" s="356">
        <f ca="1">F45/ABS(F46)</f>
        <v>-0.47449019098028083</v>
      </c>
      <c r="F49" s="352">
        <f ca="1">IF(F46&gt;=0,100,F45/ABS(F46))</f>
        <v>-0.47449019098028083</v>
      </c>
      <c r="G49" s="74"/>
    </row>
    <row r="50" spans="2:8" ht="15.75" customHeight="1" x14ac:dyDescent="0.4">
      <c r="B50" s="453" t="str">
        <f ca="1">IF(D49=2,"⇒ 1/2 Kelly %",IF(D49=3, "⇒ 1/3 Kelly %", "⇒ 1/4 Kelly %"))</f>
        <v>⇒ 1/4 Kelly %</v>
      </c>
      <c r="C50" s="85" t="str">
        <f ca="1">" [W – (1 – W)/R] /"&amp;D49</f>
        <v xml:space="preserve"> [W – (1 – W)/R] /4</v>
      </c>
      <c r="E50" s="107">
        <f ca="1">MAX(F48-ABS((1-F48)/F49),0)/D49</f>
        <v>0</v>
      </c>
      <c r="F50" s="353">
        <f ca="1">MIN(E50,H50)</f>
        <v>0</v>
      </c>
      <c r="G50" s="354" t="s">
        <v>331</v>
      </c>
      <c r="H50" s="78">
        <v>0.4</v>
      </c>
    </row>
    <row r="51" spans="2:8" ht="15.75" customHeight="1" x14ac:dyDescent="0.4"/>
    <row r="52" spans="2:8" ht="15.75" customHeight="1" x14ac:dyDescent="0.4"/>
    <row r="53" spans="2:8" ht="15.75" customHeight="1" x14ac:dyDescent="0.4"/>
    <row r="54" spans="2:8" ht="15.75" customHeight="1" x14ac:dyDescent="0.4"/>
    <row r="55" spans="2:8" ht="15.75" customHeight="1" x14ac:dyDescent="0.4"/>
    <row r="56" spans="2:8" ht="15.75" customHeight="1" x14ac:dyDescent="0.4"/>
    <row r="57" spans="2:8" ht="15.75" customHeight="1" x14ac:dyDescent="0.4"/>
    <row r="58" spans="2:8" ht="15.75" customHeight="1" x14ac:dyDescent="0.4"/>
    <row r="59" spans="2:8" ht="15.75" customHeight="1" x14ac:dyDescent="0.4"/>
    <row r="60" spans="2:8" ht="15.75" customHeight="1" x14ac:dyDescent="0.4"/>
    <row r="61" spans="2:8" ht="15.75" customHeight="1" x14ac:dyDescent="0.4"/>
    <row r="62" spans="2:8" ht="15.75" customHeight="1" x14ac:dyDescent="0.4"/>
    <row r="63" spans="2:8" ht="15.75" customHeight="1" x14ac:dyDescent="0.4"/>
    <row r="64" spans="2:8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</sheetData>
  <mergeCells count="54">
    <mergeCell ref="I36:J36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G29:H29"/>
    <mergeCell ref="C35:D35"/>
    <mergeCell ref="C36:D3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G36:H36"/>
    <mergeCell ref="I33:J33"/>
    <mergeCell ref="I11:J11"/>
    <mergeCell ref="C22:F22"/>
    <mergeCell ref="C11:D11"/>
    <mergeCell ref="C12:D12"/>
    <mergeCell ref="E26:H26"/>
    <mergeCell ref="E16:E18"/>
    <mergeCell ref="G23:J23"/>
    <mergeCell ref="C16:C18"/>
    <mergeCell ref="G16:G18"/>
    <mergeCell ref="G30:H30"/>
    <mergeCell ref="G35:H35"/>
    <mergeCell ref="I35:J35"/>
    <mergeCell ref="E27:F27"/>
    <mergeCell ref="C27:D27"/>
    <mergeCell ref="I27:J27"/>
    <mergeCell ref="G27:H27"/>
    <mergeCell ref="G28:H28"/>
    <mergeCell ref="I29:J29"/>
    <mergeCell ref="I30:J30"/>
    <mergeCell ref="I32:J32"/>
    <mergeCell ref="C29:D29"/>
    <mergeCell ref="G31:H31"/>
  </mergeCells>
  <phoneticPr fontId="31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6" priority="16" operator="lessThan">
      <formula>0</formula>
    </cfRule>
  </conditionalFormatting>
  <conditionalFormatting sqref="E26:H26">
    <cfRule type="containsBlanks" dxfId="15" priority="4">
      <formula>LEN(TRIM(E26))=0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0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DFBFAA3B-50D7-459F-9959-FE97541E89AE}">
      <formula1>"Strongly agree,agree,So-so,disagree,Strongly disagree"</formula1>
    </dataValidation>
    <dataValidation type="list" allowBlank="1" showInputMessage="1" showErrorMessage="1" sqref="B50" xr:uid="{FC73C4FB-DFD1-4041-B819-A0209C05AF63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40" sqref="E40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6640625" style="3" customWidth="1"/>
    <col min="14" max="16384" width="12.46484375" style="3"/>
  </cols>
  <sheetData>
    <row r="1" spans="1:14" ht="8.25" customHeight="1" x14ac:dyDescent="0.4">
      <c r="A1" s="36"/>
      <c r="B1" s="37"/>
      <c r="C1" s="38"/>
      <c r="D1" s="38"/>
      <c r="E1" s="38"/>
      <c r="F1" s="38"/>
    </row>
    <row r="2" spans="1:14" ht="15.75" customHeight="1" x14ac:dyDescent="0.4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6871044</v>
      </c>
      <c r="G3" s="6"/>
      <c r="H3" s="5"/>
      <c r="I3" s="6"/>
      <c r="J3" s="174"/>
      <c r="K3" s="6"/>
      <c r="L3" s="6"/>
      <c r="M3" s="6"/>
    </row>
    <row r="4" spans="1:14" ht="15.75" customHeight="1" x14ac:dyDescent="0.4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8070302</v>
      </c>
      <c r="G4" s="6"/>
      <c r="I4" s="6"/>
      <c r="J4" s="87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4">
      <c r="A7" s="9"/>
      <c r="B7" s="43" t="s">
        <v>45</v>
      </c>
      <c r="C7" s="35">
        <v>22776265</v>
      </c>
      <c r="D7" s="35">
        <v>18592465</v>
      </c>
      <c r="E7" s="35">
        <v>13721509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4">
      <c r="A8" s="9"/>
      <c r="B8" s="44" t="s">
        <v>46</v>
      </c>
      <c r="C8" s="14">
        <f t="shared" ref="C8:L8" si="1">IF(D7="","",C7/D7-1)</f>
        <v>0.22502664385814364</v>
      </c>
      <c r="D8" s="14">
        <f t="shared" si="1"/>
        <v>0.35498690413714695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4">
      <c r="A9" s="9"/>
      <c r="B9" s="44" t="s">
        <v>47</v>
      </c>
      <c r="C9" s="35">
        <v>6768676</v>
      </c>
      <c r="D9" s="35">
        <v>5112187</v>
      </c>
      <c r="E9" s="35">
        <v>4111918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4">
      <c r="A10" s="9"/>
      <c r="B10" s="44" t="s">
        <v>48</v>
      </c>
      <c r="C10" s="14">
        <f t="shared" ref="C10:M10" si="2">IF(C7="","",(C7-C9)/C7)</f>
        <v>0.7028188774586176</v>
      </c>
      <c r="D10" s="14">
        <f t="shared" si="2"/>
        <v>0.72503984813202549</v>
      </c>
      <c r="E10" s="14">
        <f t="shared" si="2"/>
        <v>0.70033048114460295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4">
      <c r="A11" s="9"/>
      <c r="B11" s="44" t="s">
        <v>49</v>
      </c>
      <c r="C11" s="35">
        <v>7937287</v>
      </c>
      <c r="D11" s="35">
        <v>6424644</v>
      </c>
      <c r="E11" s="35">
        <v>4761211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4">
      <c r="A12" s="9"/>
      <c r="B12" s="44" t="s">
        <v>50</v>
      </c>
      <c r="C12" s="14">
        <f t="shared" ref="C12:M12" si="3">IF(C7="","",C10-C13)</f>
        <v>0.34848940333281164</v>
      </c>
      <c r="D12" s="14">
        <f t="shared" si="3"/>
        <v>0.34555095303393063</v>
      </c>
      <c r="E12" s="14">
        <f t="shared" si="3"/>
        <v>0.34698887709799264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4">
      <c r="A13" s="9"/>
      <c r="B13" s="44" t="s">
        <v>51</v>
      </c>
      <c r="C13" s="14">
        <f t="shared" ref="C13:M13" si="4">IF(C14="","",C14/C7)</f>
        <v>0.35432947412580595</v>
      </c>
      <c r="D13" s="14">
        <f t="shared" si="4"/>
        <v>0.37948889509809486</v>
      </c>
      <c r="E13" s="14">
        <f t="shared" si="4"/>
        <v>0.3533416040466103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4">
      <c r="A14" s="9"/>
      <c r="B14" s="44" t="s">
        <v>52</v>
      </c>
      <c r="C14" s="27">
        <f t="shared" ref="C14:M14" si="5">IF(C7="","",C7-C9-C11)</f>
        <v>8070302</v>
      </c>
      <c r="D14" s="27">
        <f t="shared" si="5"/>
        <v>7055634</v>
      </c>
      <c r="E14" s="27">
        <f t="shared" si="5"/>
        <v>4848380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4">
      <c r="A15" s="9"/>
      <c r="B15" s="44" t="s">
        <v>53</v>
      </c>
      <c r="C15" s="14">
        <f>IF(D14="","",IF(ABS(C14+D14)=ABS(C14)+ABS(D14),IF(C14&lt;0,-1,1)*(C14-D14)/D14,"Turn"))</f>
        <v>0.14380961370728698</v>
      </c>
      <c r="D15" s="14">
        <f t="shared" ref="D15:M15" si="6">IF(E14="","",IF(ABS(D14+E14)=ABS(D14)+ABS(E14),IF(D14&lt;0,-1,1)*(D14-E14)/E14,"Turn"))</f>
        <v>0.45525598241061965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4">
      <c r="A16" s="9"/>
      <c r="B16" s="44" t="s">
        <v>54</v>
      </c>
      <c r="C16" s="143">
        <f>IF(C14="","",C14*(1-Operation!$D$16))</f>
        <v>8070302</v>
      </c>
      <c r="D16" s="143">
        <f>IF(D14="","",D14*(1-Operation!$D$16))</f>
        <v>7055634</v>
      </c>
      <c r="E16" s="143">
        <f>IF(E14="","",E14*(1-Operation!$D$16))</f>
        <v>4848380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4">
      <c r="A17" s="9"/>
      <c r="B17" s="142" t="s">
        <v>55</v>
      </c>
      <c r="C17" s="129">
        <f t="shared" ref="C17:M17" si="7">IF(C7="","",C16/C7)</f>
        <v>0.35432947412580595</v>
      </c>
      <c r="D17" s="129">
        <f t="shared" si="7"/>
        <v>0.37948889509809486</v>
      </c>
      <c r="E17" s="129">
        <f t="shared" si="7"/>
        <v>0.3533416040466103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4">
      <c r="A18" s="9"/>
      <c r="B18" s="44" t="s">
        <v>258</v>
      </c>
      <c r="C18" s="144">
        <v>29152</v>
      </c>
      <c r="D18" s="144">
        <v>50160</v>
      </c>
      <c r="E18" s="144">
        <v>72693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4">
      <c r="A19" s="9"/>
      <c r="B19" s="44" t="s">
        <v>56</v>
      </c>
      <c r="C19" s="35">
        <v>6871044</v>
      </c>
      <c r="D19" s="35">
        <v>7436873</v>
      </c>
      <c r="E19" s="35">
        <v>3934577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4">
      <c r="A20" s="9"/>
      <c r="B20" s="44" t="s">
        <v>272</v>
      </c>
      <c r="C20" s="14">
        <f>IF(D19="","",IF(ABS(C19+D19)=ABS(C19)+ABS(D19),IF(C19&lt;0,-1,1)*(C19-D19)/D19,"Turn"))</f>
        <v>-7.6084262834661825E-2</v>
      </c>
      <c r="D20" s="14">
        <f t="shared" ref="D20:M20" si="8">IF(E19="","",IF(ABS(D19+E19)=ABS(D19)+ABS(E19),IF(D19&lt;0,-1,1)*(D19-E19)/E19,"Turn"))</f>
        <v>0.89013278936973406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4">
      <c r="A21" s="9"/>
      <c r="B21" s="44" t="s">
        <v>57</v>
      </c>
      <c r="C21" s="176">
        <v>19969638</v>
      </c>
      <c r="D21" s="35">
        <v>18544395</v>
      </c>
      <c r="E21" s="35">
        <v>17288577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4">
      <c r="A22" s="9"/>
      <c r="B22" s="44" t="s">
        <v>58</v>
      </c>
      <c r="C22" s="176">
        <v>6942106</v>
      </c>
      <c r="D22" s="35">
        <v>7107369</v>
      </c>
      <c r="E22" s="35">
        <v>7438500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4">
      <c r="A23" s="9"/>
      <c r="B23" s="44" t="s">
        <v>59</v>
      </c>
      <c r="C23" s="176">
        <v>374955</v>
      </c>
      <c r="D23" s="35">
        <v>546585</v>
      </c>
      <c r="E23" s="35">
        <v>3151359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4">
      <c r="A24" s="9"/>
      <c r="B24" s="141" t="s">
        <v>60</v>
      </c>
      <c r="C24" s="272">
        <v>62103</v>
      </c>
      <c r="D24" s="140">
        <v>98331</v>
      </c>
      <c r="E24" s="140">
        <v>57145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4">
      <c r="A25" s="9"/>
      <c r="B25" s="44" t="s">
        <v>61</v>
      </c>
      <c r="C25" s="176">
        <v>736627</v>
      </c>
      <c r="D25" s="35">
        <v>871473</v>
      </c>
      <c r="E25" s="35">
        <v>1844550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4">
      <c r="A26" s="9"/>
      <c r="B26" s="141" t="s">
        <v>62</v>
      </c>
      <c r="C26" s="175">
        <v>115270</v>
      </c>
      <c r="D26" s="140">
        <v>139256</v>
      </c>
      <c r="E26" s="140">
        <v>128486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4">
      <c r="A27" s="9"/>
      <c r="B27" s="44" t="s">
        <v>63</v>
      </c>
      <c r="C27" s="27">
        <f t="shared" ref="C27:M27" si="9">IF(C7="","",C23+C25)</f>
        <v>1111582</v>
      </c>
      <c r="D27" s="27">
        <f t="shared" si="9"/>
        <v>1418058</v>
      </c>
      <c r="E27" s="27">
        <f t="shared" si="9"/>
        <v>4995909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4">
      <c r="A28" s="9"/>
      <c r="B28" s="44" t="s">
        <v>64</v>
      </c>
      <c r="C28" s="176">
        <v>22403370</v>
      </c>
      <c r="D28" s="35">
        <v>19185525</v>
      </c>
      <c r="E28" s="35">
        <v>13029578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4">
      <c r="A29" s="9"/>
      <c r="B29" s="141" t="s">
        <v>212</v>
      </c>
      <c r="C29" s="175">
        <v>20921300</v>
      </c>
      <c r="D29" s="140">
        <v>17747109</v>
      </c>
      <c r="E29" s="140">
        <v>13029578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4">
      <c r="A30" s="9"/>
      <c r="B30" s="44" t="s">
        <v>65</v>
      </c>
      <c r="C30" s="176">
        <v>8990916</v>
      </c>
      <c r="D30" s="35">
        <v>7689561</v>
      </c>
      <c r="E30" s="35">
        <v>4502426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4">
      <c r="A31" s="9"/>
      <c r="B31" s="44" t="s">
        <v>236</v>
      </c>
      <c r="C31" s="176">
        <v>5988909</v>
      </c>
      <c r="D31" s="35">
        <v>5912195</v>
      </c>
      <c r="E31" s="35">
        <v>4666585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4">
      <c r="A32" s="9"/>
      <c r="B32" s="44" t="s">
        <v>66</v>
      </c>
      <c r="C32" s="14">
        <f t="shared" ref="C32:M32" si="10">IF(D7="","",(C30-D30)/C30)</f>
        <v>0.14474109200886762</v>
      </c>
      <c r="D32" s="14">
        <f t="shared" si="10"/>
        <v>0.41447554678348997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4">
      <c r="A33" s="9"/>
      <c r="B33" s="44" t="s">
        <v>67</v>
      </c>
      <c r="C33" s="248">
        <f>IF(D7="","",(C7-D7)*Asset_Model!$D$65)</f>
        <v>282824.87999999995</v>
      </c>
      <c r="D33" s="248">
        <f>IF(E7="","",(D7-E7)*Asset_Model!$D$65)</f>
        <v>329276.62559999997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4">
      <c r="A34" s="9"/>
      <c r="B34" s="44" t="s">
        <v>79</v>
      </c>
      <c r="C34" s="143">
        <f>IF(D7="","",C30-D30+C33+IF($C$49="Yes",C51,0))</f>
        <v>1584179.88</v>
      </c>
      <c r="D34" s="143">
        <f>IF(E7="","",D30-E30+D33+IF($C$49="Yes",D51,0))</f>
        <v>3516411.6255999999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5" t="str">
        <f t="shared" ref="M34" si="18">IF(N7="","",M30-N30+M33+IF($C$49="Yes",M51,0))</f>
        <v/>
      </c>
      <c r="N34" s="6"/>
    </row>
    <row r="35" spans="1:14" ht="15.75" customHeight="1" x14ac:dyDescent="0.4">
      <c r="A35" s="9"/>
      <c r="B35" s="247" t="s">
        <v>68</v>
      </c>
      <c r="C35" s="239">
        <f t="shared" ref="C35:M35" si="19">IF(C34="","",C34/C16)</f>
        <v>0.19629747189138647</v>
      </c>
      <c r="D35" s="239">
        <f t="shared" si="19"/>
        <v>0.49838350821485355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4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4">
      <c r="A37" s="9"/>
      <c r="B37" s="168" t="s">
        <v>259</v>
      </c>
      <c r="C37" s="165">
        <v>3392281</v>
      </c>
      <c r="D37" s="165">
        <v>2684626</v>
      </c>
      <c r="E37" s="165">
        <v>2704164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4">
      <c r="A38" s="9"/>
      <c r="B38" s="142" t="s">
        <v>70</v>
      </c>
      <c r="C38" s="164">
        <v>364614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4">
      <c r="A39" s="9"/>
      <c r="B39" s="142" t="s">
        <v>208</v>
      </c>
      <c r="C39" s="170">
        <f t="shared" ref="C39:M39" si="20">IF(C37="","",C37*$C$4/Common_Shares)</f>
        <v>0.37408324236342788</v>
      </c>
      <c r="D39" s="170">
        <f t="shared" si="20"/>
        <v>0.29604670091102714</v>
      </c>
      <c r="E39" s="170">
        <f t="shared" si="20"/>
        <v>0.29820125072258358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4">
      <c r="A40" s="9"/>
      <c r="B40" s="169" t="s">
        <v>209</v>
      </c>
      <c r="C40" s="172">
        <f t="shared" ref="C40:M40" si="21">IF(C38="","",C38*$C$4/Common_Shares)</f>
        <v>4.0207750281034765E-2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4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4">
      <c r="A42" s="9"/>
      <c r="B42" s="43" t="s">
        <v>72</v>
      </c>
      <c r="C42" s="48">
        <f>IF(C29="","",C25/C28)</f>
        <v>3.2880187221833147E-2</v>
      </c>
      <c r="D42" s="48">
        <f t="shared" ref="D42:M42" si="22">IF(D29="","",D25/D29)</f>
        <v>4.9105068324085913E-2</v>
      </c>
      <c r="E42" s="48">
        <f t="shared" si="22"/>
        <v>0.14156636538804249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4">
      <c r="A43" s="9"/>
      <c r="B43" s="44" t="s">
        <v>254</v>
      </c>
      <c r="C43" s="14">
        <f t="shared" ref="C43:M43" si="23">IF(C29="","",C27/C29)</f>
        <v>5.3131593161036841E-2</v>
      </c>
      <c r="D43" s="14">
        <f t="shared" si="23"/>
        <v>7.9903605708400174E-2</v>
      </c>
      <c r="E43" s="14">
        <f t="shared" si="23"/>
        <v>0.38342830443165543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4">
      <c r="A44" s="9"/>
      <c r="B44" s="44" t="s">
        <v>73</v>
      </c>
      <c r="C44" s="50">
        <f t="shared" ref="C44:M44" si="24">IF(C14="","",IF(C27&lt;=0,"-",C14/C27))</f>
        <v>7.2601949293889252</v>
      </c>
      <c r="D44" s="50">
        <f t="shared" si="24"/>
        <v>4.9755609432054264</v>
      </c>
      <c r="E44" s="50">
        <f t="shared" si="24"/>
        <v>0.97047003858557068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4">
      <c r="A45" s="9"/>
      <c r="B45" s="44" t="s">
        <v>74</v>
      </c>
      <c r="C45" s="14">
        <f t="shared" ref="C45:M45" si="25">IF(C16="","",IF(C18&lt;=0,"-",C18/C16))</f>
        <v>3.6122563938747274E-3</v>
      </c>
      <c r="D45" s="14">
        <f t="shared" si="25"/>
        <v>7.1092122975766597E-3</v>
      </c>
      <c r="E45" s="14">
        <f t="shared" si="25"/>
        <v>1.4993255479149736E-2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4">
      <c r="A46" s="9"/>
      <c r="B46" s="46" t="s">
        <v>75</v>
      </c>
      <c r="C46" s="51">
        <f t="shared" ref="C46:M46" si="26">IF(C21="","",C21/C22)</f>
        <v>2.8765965256076469</v>
      </c>
      <c r="D46" s="51">
        <f t="shared" si="26"/>
        <v>2.6091785863376447</v>
      </c>
      <c r="E46" s="51">
        <f t="shared" si="26"/>
        <v>2.3242020568663038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4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4">
      <c r="A48" s="9"/>
      <c r="B48" s="21" t="s">
        <v>76</v>
      </c>
      <c r="C48" s="52"/>
      <c r="D48" s="52"/>
      <c r="E48" s="52"/>
      <c r="F48" s="52"/>
    </row>
    <row r="49" spans="1:13" ht="15" customHeight="1" x14ac:dyDescent="0.4">
      <c r="A49" s="9"/>
      <c r="B49" s="5" t="s">
        <v>77</v>
      </c>
      <c r="C49" s="344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4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4">
      <c r="A51" s="9"/>
      <c r="B51" s="340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4">
      <c r="A52" s="9"/>
      <c r="B52" s="341" t="s">
        <v>300</v>
      </c>
      <c r="C52" s="342" t="str">
        <f>IF(C51="","",C51/C7)</f>
        <v/>
      </c>
      <c r="D52" s="342" t="str">
        <f t="shared" ref="D52:M52" si="27">IF(D51="","",D51/D7)</f>
        <v/>
      </c>
      <c r="E52" s="342" t="str">
        <f t="shared" si="27"/>
        <v/>
      </c>
      <c r="F52" s="342" t="str">
        <f t="shared" si="27"/>
        <v/>
      </c>
      <c r="G52" s="342" t="str">
        <f t="shared" si="27"/>
        <v/>
      </c>
      <c r="H52" s="342" t="str">
        <f>IF(H51="","",H51/H7)</f>
        <v/>
      </c>
      <c r="I52" s="342" t="str">
        <f t="shared" si="27"/>
        <v/>
      </c>
      <c r="J52" s="342" t="str">
        <f t="shared" si="27"/>
        <v/>
      </c>
      <c r="K52" s="342" t="str">
        <f t="shared" si="27"/>
        <v/>
      </c>
      <c r="L52" s="342" t="str">
        <f t="shared" si="27"/>
        <v/>
      </c>
      <c r="M52" s="343" t="str">
        <f t="shared" si="27"/>
        <v/>
      </c>
    </row>
    <row r="53" spans="1:13" ht="15.75" customHeight="1" x14ac:dyDescent="0.4">
      <c r="A53" s="9"/>
      <c r="B53" s="53"/>
      <c r="C53" s="56"/>
      <c r="D53" s="56"/>
    </row>
    <row r="54" spans="1:13" ht="15.75" customHeight="1" x14ac:dyDescent="0.4">
      <c r="A54" s="9"/>
      <c r="B54" s="53"/>
      <c r="C54" s="56"/>
      <c r="D54" s="56"/>
    </row>
    <row r="55" spans="1:13" ht="15.75" customHeight="1" x14ac:dyDescent="0.4">
      <c r="A55" s="9"/>
      <c r="B55" s="53"/>
      <c r="C55" s="56"/>
      <c r="D55" s="56"/>
    </row>
    <row r="56" spans="1:13" ht="15.75" customHeight="1" x14ac:dyDescent="0.4">
      <c r="A56" s="9"/>
      <c r="B56" s="53"/>
      <c r="C56" s="57"/>
      <c r="D56" s="57"/>
    </row>
    <row r="57" spans="1:13" ht="15.75" customHeight="1" x14ac:dyDescent="0.4">
      <c r="A57" s="9"/>
      <c r="B57" s="53"/>
      <c r="C57" s="56"/>
      <c r="D57" s="56"/>
    </row>
    <row r="58" spans="1:13" ht="15.75" customHeight="1" x14ac:dyDescent="0.4">
      <c r="A58" s="9"/>
      <c r="B58" s="53"/>
      <c r="C58" s="57"/>
      <c r="D58" s="57"/>
    </row>
    <row r="59" spans="1:13" ht="15.75" customHeight="1" x14ac:dyDescent="0.4">
      <c r="A59" s="9"/>
    </row>
    <row r="60" spans="1:13" ht="15.75" customHeight="1" x14ac:dyDescent="0.4">
      <c r="A60" s="9"/>
    </row>
    <row r="61" spans="1:13" ht="15.75" customHeight="1" x14ac:dyDescent="0.4">
      <c r="A61" s="9"/>
    </row>
    <row r="62" spans="1:13" ht="15.75" customHeight="1" x14ac:dyDescent="0.4">
      <c r="A62" s="9"/>
    </row>
    <row r="63" spans="1:13" ht="15.75" customHeight="1" x14ac:dyDescent="0.4">
      <c r="A63" s="9"/>
    </row>
    <row r="64" spans="1:13" ht="15.75" customHeight="1" x14ac:dyDescent="0.4">
      <c r="A64" s="9"/>
    </row>
    <row r="65" spans="1:1" ht="15.75" customHeight="1" x14ac:dyDescent="0.4">
      <c r="A65" s="9"/>
    </row>
    <row r="66" spans="1:1" ht="15.75" customHeight="1" x14ac:dyDescent="0.4">
      <c r="A66" s="9"/>
    </row>
    <row r="67" spans="1:1" ht="15.75" customHeight="1" x14ac:dyDescent="0.4">
      <c r="A67" s="9"/>
    </row>
    <row r="68" spans="1:1" ht="15.75" customHeight="1" x14ac:dyDescent="0.4">
      <c r="A68" s="9"/>
    </row>
    <row r="69" spans="1:1" ht="15.75" customHeight="1" x14ac:dyDescent="0.4">
      <c r="A69" s="9"/>
    </row>
    <row r="70" spans="1:1" ht="15.75" customHeight="1" x14ac:dyDescent="0.4">
      <c r="A70" s="9"/>
    </row>
    <row r="71" spans="1:1" ht="15.75" customHeight="1" x14ac:dyDescent="0.4">
      <c r="A71" s="9"/>
    </row>
    <row r="72" spans="1:1" ht="15.75" customHeight="1" x14ac:dyDescent="0.4">
      <c r="A72" s="9"/>
    </row>
    <row r="73" spans="1:1" ht="15.75" customHeight="1" x14ac:dyDescent="0.4">
      <c r="A73" s="9"/>
    </row>
    <row r="74" spans="1:1" ht="15.75" customHeight="1" x14ac:dyDescent="0.4">
      <c r="A74" s="9"/>
    </row>
    <row r="75" spans="1:1" ht="15.75" customHeight="1" x14ac:dyDescent="0.4">
      <c r="A75" s="9"/>
    </row>
    <row r="76" spans="1:1" ht="15.75" customHeight="1" x14ac:dyDescent="0.4">
      <c r="A76" s="9"/>
    </row>
    <row r="77" spans="1:1" ht="15.75" customHeight="1" x14ac:dyDescent="0.4">
      <c r="A77" s="9"/>
    </row>
    <row r="78" spans="1:1" ht="15.75" customHeight="1" x14ac:dyDescent="0.4">
      <c r="A78" s="9"/>
    </row>
    <row r="79" spans="1:1" ht="15.75" customHeight="1" x14ac:dyDescent="0.4">
      <c r="A79" s="9"/>
    </row>
    <row r="80" spans="1:1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/>
    <row r="260" spans="1:1" ht="15.75" customHeight="1" x14ac:dyDescent="0.4"/>
    <row r="261" spans="1:1" ht="15.75" customHeight="1" x14ac:dyDescent="0.4"/>
    <row r="262" spans="1:1" ht="15.75" customHeight="1" x14ac:dyDescent="0.4"/>
    <row r="263" spans="1:1" ht="15.75" customHeight="1" x14ac:dyDescent="0.4"/>
    <row r="264" spans="1:1" ht="15.75" customHeight="1" x14ac:dyDescent="0.4"/>
    <row r="265" spans="1:1" ht="15.75" customHeight="1" x14ac:dyDescent="0.4"/>
    <row r="266" spans="1:1" ht="15.75" customHeight="1" x14ac:dyDescent="0.4"/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E13" sqref="E13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1328125" style="3" customWidth="1"/>
    <col min="8" max="8" width="18.46484375" style="3" bestFit="1" customWidth="1"/>
    <col min="9" max="9" width="13.33203125" style="3" bestFit="1" customWidth="1"/>
    <col min="10" max="16384" width="12.46484375" style="3"/>
  </cols>
  <sheetData>
    <row r="2" spans="1:10" ht="15" customHeight="1" x14ac:dyDescent="0.4">
      <c r="A2" s="4"/>
      <c r="B2" s="267" t="s">
        <v>81</v>
      </c>
      <c r="C2" s="267"/>
      <c r="D2" s="11"/>
      <c r="E2" s="12"/>
      <c r="F2" s="12"/>
      <c r="G2" s="12"/>
      <c r="H2" s="12"/>
      <c r="I2" s="12"/>
    </row>
    <row r="3" spans="1:10" ht="15" customHeight="1" x14ac:dyDescent="0.4">
      <c r="B3" s="5" t="s">
        <v>260</v>
      </c>
      <c r="C3" s="6"/>
      <c r="D3" s="273">
        <v>23380708</v>
      </c>
      <c r="E3" s="156" t="str">
        <f>IF((C46-I46)=D3,"", "Error!")</f>
        <v/>
      </c>
      <c r="F3" s="6"/>
      <c r="G3" s="6"/>
      <c r="H3" s="274" t="s">
        <v>261</v>
      </c>
      <c r="I3" s="275">
        <v>21883166</v>
      </c>
    </row>
    <row r="4" spans="1:10" ht="15" customHeight="1" x14ac:dyDescent="0.4">
      <c r="B4" s="5" t="s">
        <v>227</v>
      </c>
      <c r="C4" s="6"/>
      <c r="D4" s="276">
        <f>D3-I3</f>
        <v>1497542</v>
      </c>
      <c r="E4" s="150"/>
      <c r="F4" s="6"/>
      <c r="G4" s="6"/>
      <c r="H4" s="60" t="s">
        <v>82</v>
      </c>
      <c r="I4" s="91">
        <f>(I3*Dashboard!I12*Data!C4)/Dashboard!I5</f>
        <v>2.7635819572330522</v>
      </c>
    </row>
    <row r="5" spans="1:10" ht="15" customHeight="1" x14ac:dyDescent="0.4">
      <c r="D5" s="6"/>
      <c r="E5" s="23" t="s">
        <v>83</v>
      </c>
      <c r="I5" s="6"/>
    </row>
    <row r="6" spans="1:10" ht="15" customHeight="1" x14ac:dyDescent="0.4">
      <c r="B6" s="58" t="s">
        <v>84</v>
      </c>
      <c r="C6" s="6"/>
      <c r="D6" s="59">
        <f>E46-I46-E50+MIN('FCFF Model'!D4,0)</f>
        <v>11797415.447478222</v>
      </c>
      <c r="E6" s="14">
        <f>1-D6/D3</f>
        <v>0.49542094929382707</v>
      </c>
      <c r="F6" s="6"/>
      <c r="G6" s="6"/>
      <c r="H6" s="3" t="s">
        <v>320</v>
      </c>
      <c r="I6" s="69">
        <f>C26/I26</f>
        <v>3.0121293937938121</v>
      </c>
      <c r="J6" s="6"/>
    </row>
    <row r="7" spans="1:10" ht="15" customHeight="1" x14ac:dyDescent="0.4">
      <c r="B7" s="53" t="s">
        <v>85</v>
      </c>
      <c r="D7" s="61">
        <f>MAX((D6*Exchange_Rate*Data!C4)/Dashboard!I5, 0)</f>
        <v>1.4898723737064969</v>
      </c>
      <c r="E7" s="49" t="str">
        <f>Dashboard!J4</f>
        <v>HKD</v>
      </c>
      <c r="H7" s="3" t="s">
        <v>321</v>
      </c>
      <c r="I7" s="69">
        <f>C25/I26</f>
        <v>2.7703025360946434</v>
      </c>
      <c r="J7" s="6"/>
    </row>
    <row r="8" spans="1:10" ht="15" customHeight="1" x14ac:dyDescent="0.4">
      <c r="D8" s="6"/>
      <c r="H8" s="3" t="s">
        <v>322</v>
      </c>
      <c r="I8" s="69">
        <f>C24/I26</f>
        <v>2.6020800326993134</v>
      </c>
    </row>
    <row r="9" spans="1:10" ht="15" customHeight="1" x14ac:dyDescent="0.4">
      <c r="A9" s="4"/>
      <c r="B9" s="268" t="s">
        <v>256</v>
      </c>
      <c r="C9" s="255"/>
      <c r="D9" s="271">
        <v>44742</v>
      </c>
      <c r="E9" s="290" t="s">
        <v>335</v>
      </c>
      <c r="F9" s="133"/>
      <c r="G9" s="133"/>
      <c r="H9" s="133"/>
      <c r="I9" s="133"/>
    </row>
    <row r="10" spans="1:10" ht="15" customHeight="1" x14ac:dyDescent="0.4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243</v>
      </c>
      <c r="G10" s="6"/>
      <c r="H10" s="63" t="s">
        <v>90</v>
      </c>
      <c r="I10" s="23" t="s">
        <v>87</v>
      </c>
    </row>
    <row r="11" spans="1:10" ht="15" customHeight="1" x14ac:dyDescent="0.4">
      <c r="B11" s="5" t="s">
        <v>91</v>
      </c>
      <c r="C11" s="64">
        <v>10323805</v>
      </c>
      <c r="D11" s="65">
        <v>1</v>
      </c>
      <c r="E11" s="27">
        <f t="shared" ref="E11:E21" si="0">C11*D11</f>
        <v>10323805</v>
      </c>
      <c r="F11" s="6"/>
      <c r="G11" s="6"/>
      <c r="H11" s="5" t="s">
        <v>92</v>
      </c>
      <c r="I11" s="64">
        <v>408143</v>
      </c>
      <c r="J11" s="6"/>
    </row>
    <row r="12" spans="1:10" ht="13.9" x14ac:dyDescent="0.4">
      <c r="B12" s="3" t="s">
        <v>93</v>
      </c>
      <c r="C12" s="64">
        <f>40496+6225700</f>
        <v>6266196</v>
      </c>
      <c r="D12" s="65">
        <v>0.98</v>
      </c>
      <c r="E12" s="27">
        <f t="shared" si="0"/>
        <v>6140872.0800000001</v>
      </c>
      <c r="F12" s="6"/>
      <c r="G12" s="6"/>
      <c r="H12" s="5" t="s">
        <v>94</v>
      </c>
      <c r="I12" s="64">
        <v>77791</v>
      </c>
      <c r="J12" s="6"/>
    </row>
    <row r="13" spans="1:10" ht="13.9" x14ac:dyDescent="0.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</row>
    <row r="14" spans="1:10" ht="13.9" x14ac:dyDescent="0.4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</row>
    <row r="15" spans="1:10" ht="13.9" x14ac:dyDescent="0.4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5889735</v>
      </c>
      <c r="J15" s="6"/>
    </row>
    <row r="16" spans="1:10" ht="13.9" x14ac:dyDescent="0.4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244</v>
      </c>
      <c r="G16" s="94">
        <f>IF(F16="Y",0,1)</f>
        <v>0</v>
      </c>
      <c r="H16" s="5"/>
      <c r="I16" s="154"/>
      <c r="J16" s="6"/>
    </row>
    <row r="17" spans="2:10" ht="13.9" x14ac:dyDescent="0.4">
      <c r="B17" s="5" t="s">
        <v>101</v>
      </c>
      <c r="C17" s="64">
        <f>80+627033+445418</f>
        <v>1072531</v>
      </c>
      <c r="D17" s="65">
        <v>0.6</v>
      </c>
      <c r="E17" s="27">
        <f t="shared" si="0"/>
        <v>643518.6</v>
      </c>
      <c r="F17" s="6"/>
      <c r="G17" s="6"/>
      <c r="H17" s="5"/>
      <c r="I17" s="154"/>
      <c r="J17" s="6"/>
    </row>
    <row r="18" spans="2:10" ht="13.9" x14ac:dyDescent="0.4">
      <c r="B18" s="5" t="s">
        <v>102</v>
      </c>
      <c r="C18" s="64">
        <v>1541808</v>
      </c>
      <c r="D18" s="65">
        <v>0.6</v>
      </c>
      <c r="E18" s="27">
        <f t="shared" si="0"/>
        <v>925084.79999999993</v>
      </c>
      <c r="G18" s="6"/>
    </row>
    <row r="19" spans="2:10" ht="13.9" x14ac:dyDescent="0.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0</v>
      </c>
      <c r="H19" s="5"/>
      <c r="I19" s="154"/>
    </row>
    <row r="20" spans="2:10" ht="13.9" x14ac:dyDescent="0.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0</v>
      </c>
      <c r="H20" s="5"/>
      <c r="I20" s="154"/>
    </row>
    <row r="21" spans="2:10" ht="13.9" x14ac:dyDescent="0.4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4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4">
      <c r="C23" s="6"/>
      <c r="D23" s="6"/>
      <c r="E23" s="6"/>
      <c r="F23" s="6"/>
      <c r="G23" s="6"/>
    </row>
    <row r="24" spans="2:10" ht="15" customHeight="1" x14ac:dyDescent="0.4">
      <c r="B24" s="66" t="s">
        <v>107</v>
      </c>
      <c r="C24" s="70">
        <f>SUM(C11:C14)</f>
        <v>16590001</v>
      </c>
      <c r="D24" s="68">
        <f>IF(E24=0,0,E24/C24)</f>
        <v>0.99244581600688275</v>
      </c>
      <c r="E24" s="27">
        <f>SUM(E11:E14)</f>
        <v>16464677.08</v>
      </c>
      <c r="F24" s="6"/>
      <c r="G24" s="6"/>
      <c r="H24" s="66" t="s">
        <v>108</v>
      </c>
      <c r="I24" s="69">
        <f>E24/($I$26-I15)</f>
        <v>33.882537710882545</v>
      </c>
      <c r="J24" s="13" t="str">
        <f>IF(I24&lt;1,"Liquidity Problem!","")</f>
        <v/>
      </c>
    </row>
    <row r="25" spans="2:10" ht="15" customHeight="1" x14ac:dyDescent="0.4">
      <c r="B25" s="66" t="s">
        <v>109</v>
      </c>
      <c r="C25" s="70">
        <f>C24+SUM(C15:C17)</f>
        <v>17662532</v>
      </c>
      <c r="D25" s="68">
        <f>IF(E25=0,0,E25/C25)</f>
        <v>0.96861512720826204</v>
      </c>
      <c r="E25" s="27">
        <f>E24+SUM(E15:E17)</f>
        <v>17108195.68</v>
      </c>
      <c r="F25" s="6"/>
      <c r="G25" s="6"/>
      <c r="H25" s="66" t="s">
        <v>110</v>
      </c>
      <c r="I25" s="69">
        <f>E25/$I$26</f>
        <v>2.6833569434046844</v>
      </c>
      <c r="J25" s="13" t="str">
        <f>IF(OR(I25&lt;0.6,C26&lt;I26),"Liquidity Problem!","")</f>
        <v/>
      </c>
    </row>
    <row r="26" spans="2:10" ht="15" customHeight="1" x14ac:dyDescent="0.4">
      <c r="B26" s="5" t="s">
        <v>111</v>
      </c>
      <c r="C26" s="70">
        <f>SUM(C11:C22)</f>
        <v>19204340</v>
      </c>
      <c r="D26" s="14">
        <f t="shared" ref="D26" si="2">E26/C26</f>
        <v>0.93902110043875497</v>
      </c>
      <c r="E26" s="27">
        <f>SUM(E11:E22)</f>
        <v>18033280.48</v>
      </c>
      <c r="H26" s="5" t="s">
        <v>58</v>
      </c>
      <c r="I26" s="64">
        <v>6375669</v>
      </c>
    </row>
    <row r="27" spans="2:10" ht="15" customHeight="1" x14ac:dyDescent="0.4">
      <c r="C27" s="6"/>
      <c r="D27" s="6"/>
      <c r="E27" s="6"/>
      <c r="F27" s="30" t="s">
        <v>243</v>
      </c>
      <c r="G27" s="6"/>
      <c r="I27" s="6"/>
      <c r="J27" s="6"/>
    </row>
    <row r="28" spans="2:10" ht="15" customHeight="1" x14ac:dyDescent="0.4">
      <c r="B28" s="5" t="s">
        <v>112</v>
      </c>
      <c r="C28" s="64">
        <v>390000</v>
      </c>
      <c r="D28" s="65">
        <v>0.95</v>
      </c>
      <c r="E28" s="27">
        <v>0</v>
      </c>
      <c r="F28" s="6"/>
      <c r="G28" s="6"/>
      <c r="H28" s="5" t="s">
        <v>113</v>
      </c>
      <c r="I28" s="64">
        <v>563834</v>
      </c>
      <c r="J28" s="6"/>
    </row>
    <row r="29" spans="2:10" ht="15" customHeight="1" x14ac:dyDescent="0.4">
      <c r="B29" s="5" t="s">
        <v>114</v>
      </c>
      <c r="C29" s="64">
        <v>1800</v>
      </c>
      <c r="D29" s="65">
        <v>0.85</v>
      </c>
      <c r="E29" s="27">
        <f t="shared" ref="E29:E40" si="3">C29*D29</f>
        <v>1530</v>
      </c>
      <c r="F29" s="6"/>
      <c r="G29" s="6"/>
      <c r="H29" s="5" t="s">
        <v>115</v>
      </c>
      <c r="I29" s="64">
        <v>133685</v>
      </c>
      <c r="J29" s="6"/>
    </row>
    <row r="30" spans="2:10" ht="15" customHeight="1" x14ac:dyDescent="0.4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3.9" x14ac:dyDescent="0.4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3.9" x14ac:dyDescent="0.4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1491822</v>
      </c>
      <c r="J32" s="6"/>
    </row>
    <row r="33" spans="2:10" ht="13.9" x14ac:dyDescent="0.4">
      <c r="B33" s="5" t="s">
        <v>121</v>
      </c>
      <c r="C33" s="64">
        <f>6399+113558</f>
        <v>119957</v>
      </c>
      <c r="D33" s="65">
        <v>0.8</v>
      </c>
      <c r="E33" s="220">
        <f t="shared" si="3"/>
        <v>95965.6</v>
      </c>
      <c r="F33" s="204" t="s">
        <v>245</v>
      </c>
      <c r="G33" s="94">
        <f>IF(F33="Y",0,1)</f>
        <v>1</v>
      </c>
      <c r="J33" s="6"/>
    </row>
    <row r="34" spans="2:10" ht="13.9" x14ac:dyDescent="0.4">
      <c r="B34" s="5" t="s">
        <v>122</v>
      </c>
      <c r="C34" s="64">
        <v>120793</v>
      </c>
      <c r="D34" s="65">
        <v>0.7</v>
      </c>
      <c r="E34" s="220">
        <f t="shared" si="3"/>
        <v>84555.099999999991</v>
      </c>
      <c r="F34" s="204" t="s">
        <v>244</v>
      </c>
      <c r="G34" s="94">
        <f>IF(F34="Y",0,1)</f>
        <v>0</v>
      </c>
    </row>
    <row r="35" spans="2:10" ht="13.9" x14ac:dyDescent="0.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0</v>
      </c>
    </row>
    <row r="36" spans="2:10" ht="15" customHeight="1" x14ac:dyDescent="0.4">
      <c r="B36" s="5" t="s">
        <v>305</v>
      </c>
      <c r="C36" s="64">
        <f>8950370+302772+417992</f>
        <v>9671134</v>
      </c>
      <c r="D36" s="65">
        <v>0.4</v>
      </c>
      <c r="E36" s="27">
        <f t="shared" si="3"/>
        <v>3868453.6</v>
      </c>
      <c r="F36" s="6"/>
      <c r="G36" s="6"/>
    </row>
    <row r="37" spans="2:10" ht="13.9" x14ac:dyDescent="0.4">
      <c r="B37" s="5" t="s">
        <v>304</v>
      </c>
      <c r="C37" s="64">
        <v>1872000</v>
      </c>
      <c r="D37" s="65">
        <v>0.5</v>
      </c>
      <c r="E37" s="27">
        <f t="shared" si="3"/>
        <v>936000</v>
      </c>
      <c r="F37" s="6"/>
      <c r="G37" s="6"/>
    </row>
    <row r="38" spans="2:10" ht="15" customHeight="1" x14ac:dyDescent="0.4">
      <c r="B38" s="5" t="s">
        <v>123</v>
      </c>
      <c r="C38" s="64">
        <v>19604</v>
      </c>
      <c r="D38" s="65">
        <v>0.3</v>
      </c>
      <c r="E38" s="27">
        <f t="shared" si="3"/>
        <v>5881.2</v>
      </c>
      <c r="F38" s="6"/>
      <c r="G38" s="6"/>
    </row>
    <row r="39" spans="2:10" ht="15" customHeight="1" x14ac:dyDescent="0.4">
      <c r="B39" s="5" t="s">
        <v>124</v>
      </c>
      <c r="C39" s="64">
        <v>433688</v>
      </c>
      <c r="D39" s="65">
        <v>0.95</v>
      </c>
      <c r="E39" s="27">
        <f t="shared" si="3"/>
        <v>412003.6</v>
      </c>
      <c r="F39" s="6"/>
      <c r="G39" s="6"/>
    </row>
    <row r="40" spans="2:10" ht="15" customHeight="1" x14ac:dyDescent="0.4">
      <c r="B40" s="5" t="s">
        <v>125</v>
      </c>
      <c r="C40" s="64">
        <v>112402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4">
      <c r="C41" s="6"/>
      <c r="D41" s="6"/>
      <c r="E41" s="6"/>
      <c r="I41" s="6"/>
    </row>
    <row r="42" spans="2:10" ht="13.9" x14ac:dyDescent="0.4">
      <c r="B42" s="5" t="s">
        <v>126</v>
      </c>
      <c r="C42" s="67">
        <f>SUM(C28:C40)</f>
        <v>12741378</v>
      </c>
      <c r="D42" s="14">
        <f>E42/C42</f>
        <v>0.42416048719377142</v>
      </c>
      <c r="E42" s="27">
        <f>SUM(E28:E40)</f>
        <v>5404389.1000000006</v>
      </c>
      <c r="F42" s="6"/>
      <c r="G42" s="6"/>
      <c r="H42" s="5" t="s">
        <v>127</v>
      </c>
      <c r="I42" s="64">
        <v>2189341</v>
      </c>
      <c r="J42" s="6"/>
    </row>
    <row r="43" spans="2:10" ht="15" customHeight="1" x14ac:dyDescent="0.4">
      <c r="C43" s="6"/>
      <c r="D43" s="6"/>
      <c r="E43" s="6"/>
      <c r="I43" s="6"/>
    </row>
    <row r="44" spans="2:10" ht="15" customHeight="1" x14ac:dyDescent="0.4">
      <c r="B44" s="66" t="s">
        <v>128</v>
      </c>
      <c r="C44" s="70">
        <f>C24+SUM(C28:C29)</f>
        <v>16981801</v>
      </c>
      <c r="D44" s="68">
        <f>IF(E44=0,0,E44/C44)</f>
        <v>0.96963844294253598</v>
      </c>
      <c r="E44" s="27">
        <f>E24+SUM(E28:E29)</f>
        <v>16466207.08</v>
      </c>
      <c r="F44" s="6"/>
      <c r="G44" s="6"/>
      <c r="H44" s="66" t="s">
        <v>129</v>
      </c>
      <c r="I44" s="69">
        <f>E44/(I46-I15-I32)</f>
        <v>13.913697527489473</v>
      </c>
      <c r="J44" s="13" t="str">
        <f>IF(I44&lt;1,"Liquidity Problem!","")</f>
        <v/>
      </c>
    </row>
    <row r="45" spans="2:10" ht="15" customHeight="1" x14ac:dyDescent="0.4">
      <c r="B45" s="66" t="s">
        <v>130</v>
      </c>
      <c r="C45" s="70">
        <f>C44+(C25-C24)+SUM(C30:C33)</f>
        <v>18174289</v>
      </c>
      <c r="D45" s="68">
        <f>IF(E45=0,0,E45/C45)</f>
        <v>0.94670505569708951</v>
      </c>
      <c r="E45" s="27">
        <f>E44+(E25-E24)+SUM(E30:E33)</f>
        <v>17205691.280000001</v>
      </c>
      <c r="F45" s="6"/>
      <c r="G45" s="6"/>
      <c r="H45" s="66" t="s">
        <v>131</v>
      </c>
      <c r="I45" s="69">
        <f>E45/$I$46</f>
        <v>2.0088349318914984</v>
      </c>
      <c r="J45" s="13" t="str">
        <f>IF(OR(I45&lt;0.5,C46&lt;I46),"Liquidity Problem!","")</f>
        <v/>
      </c>
    </row>
    <row r="46" spans="2:10" ht="15" customHeight="1" x14ac:dyDescent="0.4">
      <c r="B46" s="5" t="s">
        <v>132</v>
      </c>
      <c r="C46" s="70">
        <f>C26+C42</f>
        <v>31945718</v>
      </c>
      <c r="D46" s="14">
        <f>E46/C46</f>
        <v>0.73367171086904359</v>
      </c>
      <c r="E46" s="27">
        <f>E26+E42</f>
        <v>23437669.580000002</v>
      </c>
      <c r="F46" s="6"/>
      <c r="G46" s="6"/>
      <c r="H46" s="5" t="s">
        <v>133</v>
      </c>
      <c r="I46" s="155">
        <f>I26+I42</f>
        <v>8565010</v>
      </c>
      <c r="J46" s="6"/>
    </row>
    <row r="47" spans="2:10" ht="15" customHeight="1" x14ac:dyDescent="0.4">
      <c r="C47" s="6"/>
      <c r="D47" s="6"/>
      <c r="E47" s="6"/>
      <c r="I47" s="6"/>
    </row>
    <row r="48" spans="2:10" ht="13.9" x14ac:dyDescent="0.4">
      <c r="B48" s="21" t="s">
        <v>134</v>
      </c>
      <c r="C48" s="21"/>
      <c r="D48" s="52"/>
    </row>
    <row r="49" spans="2:9" ht="13.9" x14ac:dyDescent="0.4">
      <c r="B49" s="216" t="s">
        <v>211</v>
      </c>
      <c r="C49" s="6"/>
      <c r="D49" s="217" t="str">
        <f>IF(E50=D4,"BV of the MI","P/B Approach")</f>
        <v>P/B Approach</v>
      </c>
      <c r="E49" s="6"/>
    </row>
    <row r="50" spans="2:9" ht="13.9" x14ac:dyDescent="0.4">
      <c r="B50" s="5" t="s">
        <v>210</v>
      </c>
      <c r="C50" s="218">
        <f>D4</f>
        <v>1497542</v>
      </c>
      <c r="D50" s="214">
        <f>IF(E50=0, 0,E50/C50)</f>
        <v>2.053527802573671</v>
      </c>
      <c r="E50" s="218">
        <f>MAX(C50,C50*Dashboard!I10)</f>
        <v>3075244.1325217802</v>
      </c>
      <c r="I50" s="157"/>
    </row>
    <row r="51" spans="2:9" ht="15" customHeight="1" x14ac:dyDescent="0.4">
      <c r="C51" s="6"/>
      <c r="D51" s="6"/>
      <c r="E51" s="6"/>
    </row>
    <row r="52" spans="2:9" ht="14.25" thickBot="1" x14ac:dyDescent="0.45">
      <c r="B52" s="75" t="s">
        <v>267</v>
      </c>
      <c r="C52" s="5"/>
      <c r="D52" s="437">
        <f>D53+D54+D55</f>
        <v>1183453</v>
      </c>
      <c r="E52" s="438"/>
      <c r="F52" s="53"/>
      <c r="G52" s="53"/>
    </row>
    <row r="53" spans="2:9" ht="14.25" thickTop="1" x14ac:dyDescent="0.4">
      <c r="B53" s="58" t="s">
        <v>237</v>
      </c>
      <c r="C53" s="6"/>
      <c r="D53" s="440">
        <f>SUM(I11:I13)+SUM(I28:I30)</f>
        <v>1183453</v>
      </c>
      <c r="E53" s="433"/>
      <c r="F53" s="5"/>
      <c r="G53" s="5"/>
      <c r="H53" s="3" t="s">
        <v>273</v>
      </c>
      <c r="I53" s="14">
        <f>D53/I3</f>
        <v>5.4080520158737544E-2</v>
      </c>
    </row>
    <row r="54" spans="2:9" ht="13.9" x14ac:dyDescent="0.4">
      <c r="B54" s="58" t="s">
        <v>136</v>
      </c>
      <c r="C54" s="6"/>
      <c r="D54" s="445">
        <v>0</v>
      </c>
      <c r="E54" s="377"/>
      <c r="F54" s="6" t="s">
        <v>137</v>
      </c>
      <c r="G54" s="6"/>
    </row>
    <row r="55" spans="2:9" ht="12.75" customHeight="1" x14ac:dyDescent="0.4">
      <c r="B55" s="58" t="s">
        <v>135</v>
      </c>
      <c r="C55" s="6"/>
      <c r="D55" s="445">
        <v>0</v>
      </c>
      <c r="E55" s="377"/>
      <c r="F55" s="5" t="s">
        <v>138</v>
      </c>
      <c r="G55" s="5"/>
    </row>
    <row r="56" spans="2:9" ht="15" customHeight="1" x14ac:dyDescent="0.4">
      <c r="D56" s="6"/>
      <c r="E56" s="6"/>
    </row>
    <row r="57" spans="2:9" ht="13.9" x14ac:dyDescent="0.4">
      <c r="B57" s="75" t="s">
        <v>139</v>
      </c>
      <c r="C57" s="5"/>
      <c r="D57" s="439"/>
      <c r="E57" s="439"/>
      <c r="F57" s="19"/>
      <c r="G57" s="19"/>
    </row>
    <row r="58" spans="2:9" ht="15" customHeight="1" x14ac:dyDescent="0.4">
      <c r="B58" s="53" t="s">
        <v>238</v>
      </c>
      <c r="C58" s="213">
        <f>C14+C15+(C19*G19)+(C20*G20)+C29+C30+(C33*G33)+(C34*G34)+(C35*G35)</f>
        <v>121757</v>
      </c>
      <c r="D58" s="129">
        <f>IF(E58=0,0,E58/C58)</f>
        <v>0.80073917721363053</v>
      </c>
      <c r="E58" s="221">
        <f>E14+E15+(E19*G19)+(E20*G20)+E29+E30+(E33*G33)+(E34*G34)+(E35*G35)</f>
        <v>97495.6</v>
      </c>
      <c r="H58" s="6"/>
    </row>
    <row r="59" spans="2:9" ht="13.9" x14ac:dyDescent="0.4">
      <c r="B59" s="53" t="s">
        <v>91</v>
      </c>
      <c r="C59" s="213">
        <f>C11+C12+C28</f>
        <v>16980001</v>
      </c>
      <c r="D59" s="214">
        <f>IF(E59=0,0,E59/C59)</f>
        <v>0.9696511254622423</v>
      </c>
      <c r="E59" s="215">
        <f>E11+E12+E28</f>
        <v>16464677.08</v>
      </c>
      <c r="F59" s="6"/>
      <c r="G59" s="6"/>
    </row>
    <row r="60" spans="2:9" ht="13.9" x14ac:dyDescent="0.4">
      <c r="B60" s="53" t="s">
        <v>140</v>
      </c>
      <c r="C60" s="6"/>
      <c r="D60" s="443">
        <f>((Dashboard!I6*Data!C4)+D52+E50-C58-C59)</f>
        <v>39843481.532761775</v>
      </c>
      <c r="E60" s="444"/>
      <c r="F60" s="6"/>
      <c r="G60" s="6"/>
    </row>
    <row r="61" spans="2:9" ht="15" customHeight="1" x14ac:dyDescent="0.4">
      <c r="D61" s="6"/>
      <c r="E61" s="6"/>
    </row>
    <row r="62" spans="2:9" ht="15" customHeight="1" x14ac:dyDescent="0.4">
      <c r="B62" s="291" t="s">
        <v>266</v>
      </c>
    </row>
    <row r="63" spans="2:9" ht="15" customHeight="1" x14ac:dyDescent="0.4">
      <c r="B63" s="3" t="s">
        <v>269</v>
      </c>
      <c r="D63" s="423">
        <f>((C26-C11-C12-C14-C15-C16*G16-C19*G19-C20*G20)-I26)/Data!C7</f>
        <v>-0.16514252885624575</v>
      </c>
      <c r="E63" s="424"/>
    </row>
    <row r="64" spans="2:9" ht="15" customHeight="1" x14ac:dyDescent="0.4">
      <c r="B64" s="3" t="s">
        <v>268</v>
      </c>
      <c r="D64" s="441">
        <v>6.7599999999999993E-2</v>
      </c>
      <c r="E64" s="442"/>
      <c r="F64" s="266" t="s">
        <v>253</v>
      </c>
    </row>
    <row r="65" spans="2:5" ht="15" customHeight="1" x14ac:dyDescent="0.4">
      <c r="B65" s="291" t="s">
        <v>270</v>
      </c>
      <c r="D65" s="441">
        <v>6.7599999999999993E-2</v>
      </c>
      <c r="E65" s="44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80F298FD-0D7D-4014-88B2-A76FBA9B2E64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4" sqref="C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3" width="22.6640625" style="3" customWidth="1"/>
    <col min="4" max="4" width="6.796875" style="3" customWidth="1"/>
    <col min="5" max="5" width="22.6640625" style="3" customWidth="1"/>
    <col min="6" max="6" width="6.796875" style="3" customWidth="1"/>
    <col min="7" max="7" width="22.6640625" style="3" customWidth="1"/>
    <col min="8" max="8" width="6.796875" style="3" customWidth="1"/>
    <col min="9" max="9" width="22.6640625" style="3" customWidth="1"/>
    <col min="10" max="10" width="6.796875" style="3" customWidth="1"/>
    <col min="11" max="11" width="2.46484375" style="3" customWidth="1"/>
    <col min="12" max="12" width="87.46484375" style="3" customWidth="1"/>
    <col min="13" max="16384" width="12.46484375" style="3"/>
  </cols>
  <sheetData>
    <row r="1" spans="1:13" ht="15" customHeight="1" x14ac:dyDescent="0.4">
      <c r="C1" s="6"/>
      <c r="D1" s="6"/>
      <c r="E1" s="6"/>
      <c r="F1" s="6"/>
      <c r="G1" s="6"/>
      <c r="H1" s="6"/>
    </row>
    <row r="2" spans="1:13" ht="15.5" customHeight="1" x14ac:dyDescent="0.4">
      <c r="A2" s="4"/>
      <c r="B2" s="92" t="s">
        <v>250</v>
      </c>
      <c r="C2" s="285" t="s">
        <v>264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4">
      <c r="B3" s="29" t="str">
        <f>'FCFF Model'!B3</f>
        <v>(Numbers in 1000CNY)</v>
      </c>
      <c r="C3" s="277">
        <f>Dashboard!E6</f>
        <v>44561</v>
      </c>
      <c r="D3" s="28" t="s">
        <v>252</v>
      </c>
      <c r="E3" s="277">
        <f>EOMONTH(EDATE(C3,12),0)</f>
        <v>44926</v>
      </c>
      <c r="F3" s="28" t="s">
        <v>252</v>
      </c>
      <c r="G3" s="277">
        <f>IF(G7="","",EOMONTH(EDATE(E3,12),0))</f>
        <v>45291</v>
      </c>
      <c r="H3" s="28"/>
      <c r="I3" s="277" t="str">
        <f>IF(I14="","",EOMONTH(EDATE(G3,12),0))</f>
        <v/>
      </c>
      <c r="J3" s="296"/>
      <c r="L3" s="72" t="s">
        <v>141</v>
      </c>
    </row>
    <row r="4" spans="1:13" ht="15.75" customHeight="1" x14ac:dyDescent="0.4">
      <c r="B4" s="292" t="s">
        <v>308</v>
      </c>
      <c r="C4" s="293">
        <v>22545004</v>
      </c>
      <c r="D4" s="260">
        <f>C4/C6</f>
        <v>0.98984640370139709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4">
      <c r="B5" s="292" t="s">
        <v>307</v>
      </c>
      <c r="C5" s="293">
        <v>231261</v>
      </c>
      <c r="D5" s="260">
        <f>C5/C6</f>
        <v>1.0153596298602954E-2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4">
      <c r="B6" s="5" t="s">
        <v>143</v>
      </c>
      <c r="C6" s="180">
        <f>C4+C5</f>
        <v>22776265</v>
      </c>
      <c r="D6" s="259"/>
      <c r="E6" s="338">
        <f>C6*0.84</f>
        <v>19132062.599999998</v>
      </c>
      <c r="F6" s="259"/>
      <c r="G6" s="338">
        <f>C6</f>
        <v>22776265</v>
      </c>
      <c r="H6" s="259"/>
      <c r="I6" s="228"/>
      <c r="J6" s="287"/>
      <c r="K6" s="6"/>
      <c r="L6" s="74" t="s">
        <v>306</v>
      </c>
      <c r="M6" s="57"/>
    </row>
    <row r="7" spans="1:13" ht="15.75" customHeight="1" x14ac:dyDescent="0.4">
      <c r="B7" s="17" t="s">
        <v>142</v>
      </c>
      <c r="C7" s="187"/>
      <c r="D7" s="261"/>
      <c r="E7" s="18">
        <f>E6/C6-1</f>
        <v>-0.16000000000000014</v>
      </c>
      <c r="F7" s="261"/>
      <c r="G7" s="18">
        <f>G6/E6-1</f>
        <v>0.19047619047619069</v>
      </c>
      <c r="H7" s="261"/>
      <c r="I7" s="73"/>
      <c r="J7" s="328"/>
      <c r="K7" s="6"/>
      <c r="L7" s="74"/>
      <c r="M7" s="57"/>
    </row>
    <row r="8" spans="1:13" ht="15.75" customHeight="1" x14ac:dyDescent="0.4">
      <c r="B8" s="8" t="s">
        <v>144</v>
      </c>
      <c r="C8" s="181">
        <f>Data!C9</f>
        <v>6768676</v>
      </c>
      <c r="D8" s="262"/>
      <c r="E8" s="227">
        <f>E6*(1-E9)</f>
        <v>5685687.8399999989</v>
      </c>
      <c r="F8" s="262"/>
      <c r="G8" s="281">
        <f>IF(G6="","",G6*(1-G9))</f>
        <v>6768675.9999999991</v>
      </c>
      <c r="H8" s="262"/>
      <c r="I8" s="281" t="str">
        <f>IF(I6="","",I6*(1-I9))</f>
        <v/>
      </c>
      <c r="J8" s="329"/>
      <c r="K8" s="6"/>
      <c r="L8" s="116"/>
      <c r="M8" s="1"/>
    </row>
    <row r="9" spans="1:13" ht="15.75" customHeight="1" x14ac:dyDescent="0.4">
      <c r="B9" s="17" t="s">
        <v>48</v>
      </c>
      <c r="C9" s="186">
        <f>(C6-C8)/C6</f>
        <v>0.7028188774586176</v>
      </c>
      <c r="D9" s="186"/>
      <c r="E9" s="73">
        <f>C9</f>
        <v>0.7028188774586176</v>
      </c>
      <c r="F9" s="186"/>
      <c r="G9" s="73">
        <f>E9</f>
        <v>0.7028188774586176</v>
      </c>
      <c r="H9" s="186"/>
      <c r="I9" s="73"/>
      <c r="J9" s="330"/>
      <c r="K9" s="6"/>
      <c r="L9" s="74"/>
    </row>
    <row r="10" spans="1:13" ht="15.75" customHeight="1" x14ac:dyDescent="0.4">
      <c r="B10" s="5" t="s">
        <v>145</v>
      </c>
      <c r="C10" s="27">
        <f>C6-C8</f>
        <v>16007589</v>
      </c>
      <c r="D10" s="27"/>
      <c r="E10" s="27">
        <f>E6-E8</f>
        <v>13446374.759999998</v>
      </c>
      <c r="F10" s="27"/>
      <c r="G10" s="27">
        <f>IF(G7="","",G6-G8)</f>
        <v>16007589</v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4">
      <c r="B11" s="17" t="s">
        <v>50</v>
      </c>
      <c r="C11" s="189">
        <f>C12/C6</f>
        <v>0.34848940333281159</v>
      </c>
      <c r="D11" s="189"/>
      <c r="E11" s="226">
        <f>C11</f>
        <v>0.34848940333281159</v>
      </c>
      <c r="F11" s="189"/>
      <c r="G11" s="65">
        <f>E11</f>
        <v>0.34848940333281159</v>
      </c>
      <c r="H11" s="189"/>
      <c r="I11" s="65"/>
      <c r="J11" s="331"/>
      <c r="K11" s="6"/>
      <c r="L11" s="74"/>
    </row>
    <row r="12" spans="1:13" ht="15.75" customHeight="1" x14ac:dyDescent="0.4">
      <c r="B12" s="8" t="s">
        <v>146</v>
      </c>
      <c r="C12" s="183">
        <f>6729305+1207982</f>
        <v>7937287</v>
      </c>
      <c r="D12" s="263"/>
      <c r="E12" s="76">
        <f>E6*E11</f>
        <v>6667321.0799999991</v>
      </c>
      <c r="F12" s="263"/>
      <c r="G12" s="76">
        <f>G6*G11</f>
        <v>7937287</v>
      </c>
      <c r="H12" s="263"/>
      <c r="I12" s="76"/>
      <c r="J12" s="332"/>
      <c r="K12" s="6"/>
      <c r="L12" s="74"/>
    </row>
    <row r="13" spans="1:13" ht="15.75" customHeight="1" x14ac:dyDescent="0.4">
      <c r="B13" s="17" t="s">
        <v>51</v>
      </c>
      <c r="C13" s="18">
        <f>C15/C6</f>
        <v>0.35432947412580595</v>
      </c>
      <c r="D13" s="18"/>
      <c r="E13" s="18">
        <f>E15/E6</f>
        <v>0.35432947412580595</v>
      </c>
      <c r="F13" s="18"/>
      <c r="G13" s="18">
        <f>IF(G7="","",G15/G6)</f>
        <v>0.35432947412580595</v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4">
      <c r="B14" s="17" t="s">
        <v>147</v>
      </c>
      <c r="C14" s="188"/>
      <c r="D14" s="264"/>
      <c r="E14" s="14">
        <f>IF(ABS(C15+E15)=ABS(C15)+ABS(E15),IF(E15&lt;0,-1,1)*(E15-C15)/C15,"Turn")</f>
        <v>-0.16000000000000014</v>
      </c>
      <c r="F14" s="264"/>
      <c r="G14" s="14">
        <f>IF(G7="","",IF(ABS(E15+G15)=ABS(E15)+ABS(G15),IF(G15&lt;0,-1,1)*(G15-E15)/E15,"Turn"))</f>
        <v>0.19047619047619069</v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4">
      <c r="B15" s="134" t="s">
        <v>248</v>
      </c>
      <c r="C15" s="319">
        <f>C10-C12</f>
        <v>8070302</v>
      </c>
      <c r="D15" s="320"/>
      <c r="E15" s="319">
        <f>E10-E12</f>
        <v>6779053.6799999988</v>
      </c>
      <c r="F15" s="320"/>
      <c r="G15" s="319">
        <f>IF(G7="","",G10-G12)</f>
        <v>8070302</v>
      </c>
      <c r="H15" s="320"/>
      <c r="I15" s="319" t="str">
        <f>IF(I7="","",I10-I12)</f>
        <v/>
      </c>
      <c r="J15" s="334"/>
      <c r="K15" s="6"/>
      <c r="L15" s="79"/>
      <c r="M15" s="56"/>
    </row>
    <row r="16" spans="1:13" ht="15.75" customHeight="1" x14ac:dyDescent="0.4">
      <c r="B16" s="315" t="s">
        <v>148</v>
      </c>
      <c r="C16" s="316">
        <v>0.25</v>
      </c>
      <c r="D16" s="317"/>
      <c r="E16" s="318">
        <f>IF(E15="","",C16)</f>
        <v>0.25</v>
      </c>
      <c r="F16" s="318"/>
      <c r="G16" s="318">
        <f>IF(G15="","",E16)</f>
        <v>0.25</v>
      </c>
      <c r="H16" s="318"/>
      <c r="I16" s="318" t="str">
        <f>IF(I15="","",G16)</f>
        <v/>
      </c>
      <c r="J16" s="335"/>
    </row>
    <row r="17" spans="2:10" ht="15.75" customHeight="1" x14ac:dyDescent="0.4">
      <c r="B17" s="324" t="s">
        <v>279</v>
      </c>
      <c r="C17" s="188"/>
      <c r="D17" s="326"/>
      <c r="E17" s="325">
        <f>E18/C18-1</f>
        <v>-0.16000000000000014</v>
      </c>
      <c r="F17" s="325"/>
      <c r="G17" s="325">
        <f>IF(G18="","",G18/E18-1)</f>
        <v>0.19047619047619069</v>
      </c>
      <c r="H17" s="325"/>
      <c r="I17" s="325" t="str">
        <f>IF(I18="","",I18/G18-1)</f>
        <v/>
      </c>
      <c r="J17" s="336"/>
    </row>
    <row r="18" spans="2:10" ht="15.75" customHeight="1" x14ac:dyDescent="0.4">
      <c r="B18" s="321" t="s">
        <v>80</v>
      </c>
      <c r="C18" s="322">
        <f>IF(C15&lt;=0,C15,C15*(1-C16))</f>
        <v>6052726.5</v>
      </c>
      <c r="D18" s="322"/>
      <c r="E18" s="323">
        <f>IF(E15="","",IF(E15&lt;=0,E15,E15*(1-E16)))</f>
        <v>5084290.2599999988</v>
      </c>
      <c r="F18" s="322"/>
      <c r="G18" s="323">
        <f>IF(G15="","",IF(G15&lt;=0,G15,G15*(1-G16)))</f>
        <v>6052726.5</v>
      </c>
      <c r="H18" s="322"/>
      <c r="I18" s="323" t="str">
        <f>IF(I15="","",IF(I15&lt;=0,I15,I15*(1-I16)))</f>
        <v/>
      </c>
      <c r="J18" s="337"/>
    </row>
    <row r="19" spans="2:10" ht="15.75" customHeight="1" x14ac:dyDescent="0.4"/>
    <row r="20" spans="2:10" ht="15.75" customHeight="1" x14ac:dyDescent="0.4"/>
    <row r="21" spans="2:10" ht="15.75" customHeight="1" x14ac:dyDescent="0.4"/>
    <row r="22" spans="2:10" ht="15.75" customHeight="1" x14ac:dyDescent="0.4"/>
    <row r="23" spans="2:10" ht="15.75" customHeight="1" x14ac:dyDescent="0.4"/>
    <row r="24" spans="2:10" ht="15.75" customHeight="1" x14ac:dyDescent="0.4"/>
    <row r="25" spans="2:10" ht="15.75" customHeight="1" x14ac:dyDescent="0.4"/>
    <row r="26" spans="2:10" ht="15.75" customHeight="1" x14ac:dyDescent="0.4"/>
    <row r="27" spans="2:10" ht="15.75" customHeight="1" x14ac:dyDescent="0.4"/>
    <row r="28" spans="2:10" ht="15.75" customHeight="1" x14ac:dyDescent="0.4"/>
    <row r="29" spans="2:10" ht="15.75" customHeight="1" x14ac:dyDescent="0.4"/>
    <row r="30" spans="2:10" ht="15.75" customHeight="1" x14ac:dyDescent="0.4"/>
    <row r="31" spans="2:10" ht="15.75" customHeight="1" x14ac:dyDescent="0.4"/>
    <row r="32" spans="2:10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</sheetData>
  <phoneticPr fontId="31" type="noConversion"/>
  <conditionalFormatting sqref="E16:E18 G18 I18">
    <cfRule type="containsBlanks" dxfId="6" priority="2">
      <formula>LEN(TRIM(E16))=0</formula>
    </cfRule>
  </conditionalFormatting>
  <conditionalFormatting sqref="G8:H11 G13:H15 H7 H12">
    <cfRule type="containsBlanks" priority="9">
      <formula>LEN(TRIM(G7))=0</formula>
    </cfRule>
  </conditionalFormatting>
  <conditionalFormatting sqref="G13:H15">
    <cfRule type="containsBlanks" dxfId="5" priority="8">
      <formula>LEN(TRIM(G13))=0</formula>
    </cfRule>
  </conditionalFormatting>
  <conditionalFormatting sqref="G8:J11 G13:J18 H7:J7 H12:J12">
    <cfRule type="containsBlanks" dxfId="4" priority="1">
      <formula>LEN(TRIM(G7))=0</formula>
    </cfRule>
  </conditionalFormatting>
  <conditionalFormatting sqref="I7:J15">
    <cfRule type="containsBlanks" dxfId="3" priority="4">
      <formula>LEN(TRIM(I7))=0</formula>
    </cfRule>
    <cfRule type="containsBlanks" priority="5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4" zoomScaleNormal="100" zoomScalePageLayoutView="80" workbookViewId="0">
      <selection activeCell="B27" sqref="B27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6640625" style="3" customWidth="1"/>
    <col min="8" max="8" width="2.46484375" style="3" customWidth="1"/>
    <col min="9" max="9" width="49.46484375" style="3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92" t="s">
        <v>226</v>
      </c>
      <c r="C2" s="285" t="s">
        <v>264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 x14ac:dyDescent="0.4">
      <c r="B3" s="29" t="str">
        <f>"(Numbers in "&amp;Data!C4&amp;Dashboard!I11&amp;")"</f>
        <v>(Numbers in 1000CNY)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 t="str">
        <f>Operation!I3</f>
        <v/>
      </c>
      <c r="G3" s="28" t="s">
        <v>262</v>
      </c>
      <c r="I3" s="72" t="s">
        <v>141</v>
      </c>
    </row>
    <row r="4" spans="1:10" ht="15.75" customHeight="1" x14ac:dyDescent="0.4">
      <c r="B4" s="5" t="s">
        <v>80</v>
      </c>
      <c r="C4" s="182">
        <f>Operation!C18</f>
        <v>6052726.5</v>
      </c>
      <c r="D4" s="45">
        <f>Operation!E18</f>
        <v>5084290.2599999988</v>
      </c>
      <c r="E4" s="45">
        <f>Operation!G18</f>
        <v>6052726.5</v>
      </c>
      <c r="F4" s="201" t="str">
        <f>Operation!I18</f>
        <v/>
      </c>
      <c r="G4" s="303">
        <f>IF(F3="",IF(E3="",1,2),3)</f>
        <v>2</v>
      </c>
      <c r="H4" s="6"/>
      <c r="I4" s="79"/>
      <c r="J4" s="56"/>
    </row>
    <row r="5" spans="1:10" ht="15.75" customHeight="1" x14ac:dyDescent="0.4">
      <c r="B5" s="17" t="s">
        <v>277</v>
      </c>
      <c r="C5" s="257"/>
      <c r="D5" s="258">
        <f>D4/C4-1</f>
        <v>-0.16000000000000014</v>
      </c>
      <c r="E5" s="258">
        <f>IF(E4="","",E4/D4-1)</f>
        <v>0.19047619047619069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4">
      <c r="B6" s="17" t="s">
        <v>68</v>
      </c>
      <c r="C6" s="65">
        <v>0.3473</v>
      </c>
      <c r="D6" s="226">
        <f>C6</f>
        <v>0.3473</v>
      </c>
      <c r="E6" s="226">
        <f>D6</f>
        <v>0.3473</v>
      </c>
      <c r="F6" s="308"/>
      <c r="G6" s="199"/>
      <c r="H6" s="6"/>
      <c r="I6" s="77"/>
    </row>
    <row r="7" spans="1:10" ht="15" customHeight="1" thickBot="1" x14ac:dyDescent="0.45">
      <c r="B7" s="81" t="s">
        <v>271</v>
      </c>
      <c r="C7" s="309">
        <f>C4*C6</f>
        <v>2102111.9134499999</v>
      </c>
      <c r="D7" s="309">
        <f>D4*D6</f>
        <v>1765774.0072979997</v>
      </c>
      <c r="E7" s="309">
        <f>E4*E6</f>
        <v>2102111.9134499999</v>
      </c>
      <c r="F7" s="310"/>
      <c r="G7" s="200"/>
      <c r="H7" s="82"/>
      <c r="I7" s="56"/>
      <c r="J7" s="56"/>
    </row>
    <row r="8" spans="1:10" ht="15.75" customHeight="1" thickTop="1" x14ac:dyDescent="0.4">
      <c r="B8" s="17" t="s">
        <v>149</v>
      </c>
      <c r="C8" s="192">
        <f>IF(C4="","",C4-C7)</f>
        <v>3950614.5865500001</v>
      </c>
      <c r="D8" s="191">
        <f>D4-D7</f>
        <v>3318516.2527019992</v>
      </c>
      <c r="E8" s="191">
        <f>IF(E4="","",E4-E7)</f>
        <v>3950614.5865500001</v>
      </c>
      <c r="F8" s="191" t="str">
        <f>IF(F4="","",F4-F7)</f>
        <v/>
      </c>
      <c r="G8" s="229">
        <f>IF(F4="",IF(E4="",D8,E8),F8)</f>
        <v>3950614.5865500001</v>
      </c>
      <c r="H8" s="82"/>
      <c r="I8" s="56"/>
      <c r="J8" s="56"/>
    </row>
    <row r="9" spans="1:10" ht="15.75" customHeight="1" x14ac:dyDescent="0.4">
      <c r="B9" s="203" t="s">
        <v>219</v>
      </c>
      <c r="C9" s="193">
        <f>C8/(Common_Shares/Data!$C$4)</f>
        <v>0.43565338893354566</v>
      </c>
      <c r="D9" s="305">
        <f>D8/(Common_Shares/Data!$C$4)</f>
        <v>0.36594884670417827</v>
      </c>
      <c r="E9" s="305">
        <f>IF(E8="","",E8/(Common_Shares/Data!$C$4))</f>
        <v>0.43565338893354566</v>
      </c>
      <c r="F9" s="305" t="str">
        <f>IF(F8="","",F8/(Common_Shares/Data!$C$4))</f>
        <v/>
      </c>
      <c r="G9" s="306">
        <f>G8*Data!C$4/Dashboard!I5</f>
        <v>0.43565338893354566</v>
      </c>
      <c r="H9" s="82"/>
      <c r="I9" s="56"/>
      <c r="J9" s="56"/>
    </row>
    <row r="10" spans="1:10" ht="15.75" customHeight="1" x14ac:dyDescent="0.4">
      <c r="B10" s="234" t="s">
        <v>249</v>
      </c>
      <c r="C10" s="311">
        <f>C11/C9</f>
        <v>1.0802165481875434</v>
      </c>
      <c r="D10" s="311">
        <f>D11/D9</f>
        <v>0.74245349438041508</v>
      </c>
      <c r="E10" s="327"/>
      <c r="F10" s="327"/>
      <c r="G10" s="235"/>
      <c r="H10" s="82"/>
      <c r="I10" s="56"/>
      <c r="J10" s="56"/>
    </row>
    <row r="11" spans="1:10" ht="15.75" customHeight="1" x14ac:dyDescent="0.4">
      <c r="B11" s="234" t="s">
        <v>263</v>
      </c>
      <c r="C11" s="283">
        <f>0.2973+0.1733</f>
        <v>0.47060000000000002</v>
      </c>
      <c r="D11" s="284">
        <f>0.1131+0.1586</f>
        <v>0.2717</v>
      </c>
      <c r="E11" s="284"/>
      <c r="F11" s="284"/>
      <c r="G11" s="282"/>
      <c r="H11" s="82"/>
      <c r="I11" s="56"/>
      <c r="J11" s="56"/>
    </row>
    <row r="12" spans="1:10" ht="15.75" customHeight="1" x14ac:dyDescent="0.4">
      <c r="B12" s="19" t="s">
        <v>278</v>
      </c>
      <c r="C12" s="236">
        <v>0</v>
      </c>
      <c r="D12" s="236">
        <v>0.15859999999999999</v>
      </c>
      <c r="E12" s="236"/>
      <c r="F12" s="236"/>
      <c r="G12" s="230">
        <f>G9*D26</f>
        <v>6.9704542229367306</v>
      </c>
      <c r="H12" s="82"/>
      <c r="I12" s="56"/>
      <c r="J12" s="56"/>
    </row>
    <row r="13" spans="1:10" ht="15.75" customHeight="1" x14ac:dyDescent="0.4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4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4">
      <c r="B15" s="8" t="s">
        <v>309</v>
      </c>
      <c r="C15" s="237">
        <f>C12</f>
        <v>0</v>
      </c>
      <c r="D15" s="195">
        <f ca="1">IF(D12="","",MAX(D9-D11,D12)/D14)</f>
        <v>0.14685185185185184</v>
      </c>
      <c r="E15" s="196">
        <f ca="1">IF(E9="","",E9/E14)</f>
        <v>0.37350256252875996</v>
      </c>
      <c r="F15" s="196" t="str">
        <f>IF(F9="","",F9/F14)</f>
        <v/>
      </c>
      <c r="G15" s="233">
        <f ca="1">IF(G12=0,0,G12/G14)</f>
        <v>5.5333712967223692</v>
      </c>
      <c r="H15" s="80"/>
      <c r="I15" s="56"/>
      <c r="J15" s="56"/>
    </row>
    <row r="16" spans="1:10" ht="15.75" customHeight="1" x14ac:dyDescent="0.4">
      <c r="F16" s="6"/>
      <c r="G16" s="115"/>
    </row>
    <row r="17" spans="1:9" ht="15.75" customHeight="1" x14ac:dyDescent="0.4">
      <c r="B17" s="26" t="s">
        <v>222</v>
      </c>
      <c r="C17" s="194" t="str">
        <f>B3</f>
        <v>(Numbers in 1000CNY)</v>
      </c>
      <c r="E17" s="72" t="s">
        <v>223</v>
      </c>
    </row>
    <row r="18" spans="1:9" ht="15.75" customHeight="1" x14ac:dyDescent="0.4">
      <c r="B18" s="58" t="s">
        <v>242</v>
      </c>
      <c r="C18" s="84">
        <f>Asset_Model!E59</f>
        <v>16464677.08</v>
      </c>
      <c r="D18" s="219">
        <f>C18/(Dashboard!I5/Data!C4)</f>
        <v>1.8156396202299327</v>
      </c>
      <c r="E18" s="85" t="s">
        <v>239</v>
      </c>
      <c r="G18" s="137">
        <f>C18+C19+C20+C21</f>
        <v>12303475.547478219</v>
      </c>
    </row>
    <row r="19" spans="1:9" ht="15.75" customHeight="1" x14ac:dyDescent="0.4">
      <c r="B19" s="58" t="s">
        <v>246</v>
      </c>
      <c r="C19" s="84">
        <f>Asset_Model!E58</f>
        <v>97495.6</v>
      </c>
      <c r="D19" s="219">
        <f>C19/(Dashboard!I5/Data!C4)</f>
        <v>1.0751311629009455E-2</v>
      </c>
      <c r="E19" s="85" t="s">
        <v>240</v>
      </c>
      <c r="G19" s="197">
        <f>(G18+MIN(D4,0))*Data!C$4/Dashboard!I5</f>
        <v>1.3567637896565183</v>
      </c>
    </row>
    <row r="20" spans="1:9" ht="15.75" customHeight="1" x14ac:dyDescent="0.4">
      <c r="B20" s="58" t="s">
        <v>224</v>
      </c>
      <c r="C20" s="84">
        <f>-Asset_Model!D52</f>
        <v>-1183453</v>
      </c>
      <c r="D20" s="219">
        <f>C20/(Dashboard!I5/Data!C4)</f>
        <v>-0.13050508947363906</v>
      </c>
      <c r="E20" s="448" t="str">
        <f>IF(F21+G21=G19,"⇒","Error!")</f>
        <v>⇒</v>
      </c>
      <c r="F20" s="146" t="s">
        <v>247</v>
      </c>
      <c r="G20" s="87" t="s">
        <v>23</v>
      </c>
    </row>
    <row r="21" spans="1:9" ht="15.75" customHeight="1" x14ac:dyDescent="0.4">
      <c r="B21" s="85" t="s">
        <v>241</v>
      </c>
      <c r="C21" s="84">
        <f>-Asset_Model!E50</f>
        <v>-3075244.1325217802</v>
      </c>
      <c r="D21" s="219">
        <f>C21/(Dashboard!I5/Data!C4)</f>
        <v>-0.33912205272878476</v>
      </c>
      <c r="E21" s="448"/>
      <c r="F21" s="148">
        <f>D18</f>
        <v>1.8156396202299327</v>
      </c>
      <c r="G21" s="147">
        <f>SUM(D19:D21)</f>
        <v>-0.45887583057341436</v>
      </c>
    </row>
    <row r="22" spans="1:9" ht="15.75" customHeight="1" x14ac:dyDescent="0.4">
      <c r="F22" s="6"/>
      <c r="G22" s="6"/>
    </row>
    <row r="23" spans="1:9" ht="15.75" customHeight="1" x14ac:dyDescent="0.4">
      <c r="B23" s="26" t="s">
        <v>225</v>
      </c>
      <c r="C23" s="194" t="str">
        <f>B3</f>
        <v>(Numbers in 1000CNY)</v>
      </c>
      <c r="E23" s="451" t="s">
        <v>232</v>
      </c>
      <c r="F23" s="451"/>
      <c r="G23" s="451"/>
    </row>
    <row r="24" spans="1:9" ht="15.75" customHeight="1" x14ac:dyDescent="0.4">
      <c r="B24" s="127" t="str">
        <f>"Exit after Year "&amp;G4</f>
        <v>Exit after Year 2</v>
      </c>
      <c r="C24" s="127" t="s">
        <v>228</v>
      </c>
      <c r="D24" s="202" t="s">
        <v>221</v>
      </c>
      <c r="E24" s="304" t="s">
        <v>229</v>
      </c>
      <c r="F24" s="265" t="s">
        <v>231</v>
      </c>
      <c r="G24" s="265" t="s">
        <v>230</v>
      </c>
      <c r="I24" s="86" t="s">
        <v>141</v>
      </c>
    </row>
    <row r="25" spans="1:9" ht="15.75" customHeight="1" x14ac:dyDescent="0.4">
      <c r="B25" s="30" t="s">
        <v>312</v>
      </c>
      <c r="C25" s="14">
        <f>1/D25</f>
        <v>0.125</v>
      </c>
      <c r="D25" s="297">
        <v>8</v>
      </c>
      <c r="E25" s="206">
        <f ca="1">G9*D25/G14</f>
        <v>2.7666856483611846</v>
      </c>
      <c r="F25" s="449">
        <f ca="1">SUM(C15:F15)</f>
        <v>0.52035441438061181</v>
      </c>
      <c r="G25" s="206">
        <f ca="1">$F$25+E25+$G$19</f>
        <v>4.6438038523983147</v>
      </c>
      <c r="I25" s="74"/>
    </row>
    <row r="26" spans="1:9" ht="15.75" customHeight="1" x14ac:dyDescent="0.4">
      <c r="B26" s="301" t="s">
        <v>313</v>
      </c>
      <c r="C26" s="302">
        <f t="shared" ref="C26" si="0">1/D26</f>
        <v>6.25E-2</v>
      </c>
      <c r="D26" s="314">
        <v>16</v>
      </c>
      <c r="E26" s="207">
        <f ca="1">G9*D26/G14</f>
        <v>5.5333712967223692</v>
      </c>
      <c r="F26" s="450"/>
      <c r="G26" s="207">
        <f ca="1">$F$25+E26+$G$19</f>
        <v>7.4104895007594997</v>
      </c>
      <c r="I26" s="74" t="s">
        <v>311</v>
      </c>
    </row>
    <row r="27" spans="1:9" ht="15.75" customHeight="1" x14ac:dyDescent="0.4">
      <c r="B27" s="30"/>
      <c r="C27" s="357"/>
      <c r="D27" s="358"/>
      <c r="E27" s="123"/>
      <c r="F27" s="124"/>
      <c r="G27" s="123"/>
      <c r="I27" s="74"/>
    </row>
    <row r="28" spans="1:9" ht="15.75" customHeight="1" x14ac:dyDescent="0.4">
      <c r="C28" s="6"/>
      <c r="D28" s="6"/>
      <c r="E28" s="6"/>
      <c r="F28" s="6"/>
      <c r="G28" s="6"/>
    </row>
    <row r="29" spans="1:9" ht="15.75" customHeight="1" x14ac:dyDescent="0.4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4">
      <c r="A30" s="6"/>
      <c r="B30" s="71" t="s">
        <v>152</v>
      </c>
      <c r="C30" s="252">
        <f ca="1">MIN(Asset_Model!D7,G25*Exchange_Rate)+(ABS(Asset_Model!D7-G25*Exchange_Rate)*'Qualitative Analysis'!E8)</f>
        <v>3.0211787458516843</v>
      </c>
      <c r="D30" s="23" t="str">
        <f ca="1">IF(C30&lt;E30,"&lt;",IF(C30=E30,"=","&gt;"))</f>
        <v>&lt;</v>
      </c>
      <c r="E30" s="251">
        <f ca="1">G26*Exchange_Rate</f>
        <v>8.4865789595183294</v>
      </c>
      <c r="F30" s="30"/>
      <c r="H30" s="6"/>
      <c r="I30" s="6"/>
    </row>
    <row r="31" spans="1:9" ht="15.75" customHeight="1" x14ac:dyDescent="0.4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4">
      <c r="C32" s="446" t="s">
        <v>153</v>
      </c>
      <c r="D32" s="447"/>
      <c r="E32" s="30" t="s">
        <v>220</v>
      </c>
      <c r="F32" s="30" t="s">
        <v>18</v>
      </c>
      <c r="G32" s="30"/>
      <c r="H32" s="6"/>
    </row>
    <row r="33" spans="2:9" ht="15.75" customHeight="1" x14ac:dyDescent="0.4">
      <c r="B33" s="256" t="s">
        <v>234</v>
      </c>
      <c r="C33" s="253">
        <f ca="1">MIN(C30,E30)+ABS(C30-E30)*'Qualitative Analysis'!$E$64</f>
        <v>6.3489847177870598</v>
      </c>
      <c r="D33" s="119" t="str">
        <f>Dashboard!J4</f>
        <v>HKD</v>
      </c>
      <c r="E33" s="120">
        <f ca="1">(C33-G19)/C9</f>
        <v>11.459157795951523</v>
      </c>
      <c r="F33" s="158">
        <f ca="1">C33/(Data!C28*Exchange_Rate*Data!C4/Common_Shares)</f>
        <v>2.2440304020810808</v>
      </c>
      <c r="G33" s="87"/>
      <c r="H33" s="6"/>
      <c r="I33" s="74"/>
    </row>
    <row r="34" spans="2:9" ht="15.75" customHeight="1" x14ac:dyDescent="0.4">
      <c r="B34" s="255" t="s">
        <v>233</v>
      </c>
      <c r="C34" s="254">
        <f ca="1">MAX(Asset_Model!D7,(G12/(1+G34)^G4+F25+G19)*Exchange_Rate)</f>
        <v>9.0702104550540241</v>
      </c>
      <c r="D34" s="208" t="str">
        <f>D33</f>
        <v>HKD</v>
      </c>
      <c r="E34" s="120">
        <f ca="1">(C34-G19)/C9</f>
        <v>17.705466917816427</v>
      </c>
      <c r="F34" s="158">
        <f ca="1">C34/(Data!C28*Exchange_Rate*Data!C4/Common_Shares)</f>
        <v>3.205839818355908</v>
      </c>
      <c r="G34" s="280">
        <f>Dashboard!D10+4.5%</f>
        <v>7.3999999999999996E-2</v>
      </c>
    </row>
    <row r="35" spans="2:9" ht="15.75" customHeight="1" x14ac:dyDescent="0.4"/>
    <row r="36" spans="2:9" ht="15.75" customHeight="1" x14ac:dyDescent="0.4"/>
    <row r="37" spans="2:9" ht="15.75" customHeight="1" x14ac:dyDescent="0.4"/>
    <row r="38" spans="2:9" ht="15.75" customHeight="1" x14ac:dyDescent="0.4"/>
    <row r="39" spans="2:9" ht="15.75" customHeight="1" x14ac:dyDescent="0.4"/>
    <row r="40" spans="2:9" ht="15.75" customHeight="1" x14ac:dyDescent="0.4"/>
    <row r="41" spans="2:9" ht="15.75" customHeight="1" x14ac:dyDescent="0.4"/>
    <row r="42" spans="2:9" ht="15.75" customHeight="1" x14ac:dyDescent="0.4"/>
    <row r="43" spans="2:9" ht="15.75" customHeight="1" x14ac:dyDescent="0.4"/>
    <row r="44" spans="2:9" ht="15.75" customHeight="1" x14ac:dyDescent="0.4"/>
    <row r="45" spans="2:9" ht="15.75" customHeight="1" x14ac:dyDescent="0.4"/>
    <row r="46" spans="2:9" ht="15.75" customHeight="1" x14ac:dyDescent="0.4"/>
    <row r="47" spans="2:9" ht="15.75" customHeight="1" x14ac:dyDescent="0.4"/>
    <row r="48" spans="2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4">
    <mergeCell ref="C32:D32"/>
    <mergeCell ref="E20:E21"/>
    <mergeCell ref="F25:F26"/>
    <mergeCell ref="E23:G23"/>
  </mergeCells>
  <phoneticPr fontId="31" type="noConversion"/>
  <conditionalFormatting sqref="E25:E27 G25:G27">
    <cfRule type="cellIs" dxfId="2" priority="28" operator="equal">
      <formula>$E$30</formula>
    </cfRule>
  </conditionalFormatting>
  <conditionalFormatting sqref="E4:F5 E8:F15 F6:F7">
    <cfRule type="containsBlanks" dxfId="1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" sqref="B3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154</v>
      </c>
      <c r="C2" s="95"/>
      <c r="D2" s="12"/>
      <c r="E2" s="12"/>
      <c r="G2" s="72" t="s">
        <v>141</v>
      </c>
    </row>
    <row r="3" spans="1:7" ht="13.9" x14ac:dyDescent="0.4">
      <c r="B3" s="6" t="s">
        <v>283</v>
      </c>
      <c r="C3" s="96"/>
      <c r="D3" s="94">
        <f>IF(E3="Strongly disagree",0,IF(E3="disagree",1,IF(E3="unclear",2,IF(E3="agree",3,4))))</f>
        <v>1</v>
      </c>
      <c r="E3" s="31" t="s">
        <v>163</v>
      </c>
      <c r="G3" s="79"/>
    </row>
    <row r="4" spans="1:7" ht="13.9" x14ac:dyDescent="0.4">
      <c r="B4" s="6" t="s">
        <v>285</v>
      </c>
      <c r="C4" s="96"/>
      <c r="D4" s="94">
        <f t="shared" ref="D4" si="0">IF(E4="Strongly disagree",0,IF(E4="disagree",1,IF(E4="unclear",2,IF(E4="agree",3,4))))</f>
        <v>0</v>
      </c>
      <c r="E4" s="31" t="s">
        <v>179</v>
      </c>
      <c r="G4" s="77"/>
    </row>
    <row r="5" spans="1:7" ht="13.9" x14ac:dyDescent="0.4">
      <c r="B5" s="6" t="s">
        <v>280</v>
      </c>
      <c r="C5" s="96"/>
      <c r="D5" s="94">
        <f>AVERAGE(D12:D16)</f>
        <v>2.2000000000000002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3.9" x14ac:dyDescent="0.4">
      <c r="B6" s="6" t="s">
        <v>281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3.9" x14ac:dyDescent="0.4">
      <c r="B7" s="6" t="s">
        <v>282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3.9" x14ac:dyDescent="0.4">
      <c r="B8" s="97" t="s">
        <v>157</v>
      </c>
      <c r="C8" s="96"/>
      <c r="D8" s="94">
        <f>AVERAGE(D3:D7)</f>
        <v>1.6</v>
      </c>
      <c r="E8" s="98">
        <f>D8/4</f>
        <v>0.4</v>
      </c>
      <c r="G8" s="77"/>
    </row>
    <row r="9" spans="1:7" ht="13.9" x14ac:dyDescent="0.4">
      <c r="B9" s="96"/>
      <c r="C9" s="96"/>
      <c r="E9" s="6"/>
      <c r="G9" s="77"/>
    </row>
    <row r="10" spans="1:7" ht="15" customHeight="1" x14ac:dyDescent="0.4">
      <c r="A10" s="4"/>
      <c r="B10" s="11" t="s">
        <v>158</v>
      </c>
      <c r="C10" s="20"/>
      <c r="D10" s="20"/>
      <c r="E10" s="12"/>
      <c r="G10" s="294"/>
    </row>
    <row r="11" spans="1:7" ht="15" customHeight="1" x14ac:dyDescent="0.4">
      <c r="B11" s="99" t="s">
        <v>159</v>
      </c>
      <c r="C11" s="93"/>
      <c r="E11" s="6"/>
      <c r="G11" s="294"/>
    </row>
    <row r="12" spans="1:7" ht="15" customHeight="1" x14ac:dyDescent="0.4">
      <c r="B12" s="53" t="s">
        <v>284</v>
      </c>
      <c r="D12" s="100">
        <f>IF(E12="Strongly disagree",0,IF(E12="disagree",1,IF(E12="unclear",2,IF(E12="agree",3,4))))</f>
        <v>1</v>
      </c>
      <c r="E12" s="31" t="s">
        <v>163</v>
      </c>
      <c r="F12" s="6"/>
      <c r="G12" s="294"/>
    </row>
    <row r="13" spans="1:7" ht="15" customHeight="1" x14ac:dyDescent="0.4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4"/>
    </row>
    <row r="14" spans="1:7" ht="15" customHeight="1" x14ac:dyDescent="0.4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4"/>
    </row>
    <row r="15" spans="1:7" ht="15" customHeight="1" x14ac:dyDescent="0.4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4"/>
    </row>
    <row r="16" spans="1:7" ht="15" customHeight="1" x14ac:dyDescent="0.4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4"/>
    </row>
    <row r="17" spans="2:7" ht="15" customHeight="1" x14ac:dyDescent="0.4">
      <c r="B17" s="99" t="s">
        <v>166</v>
      </c>
      <c r="D17" s="38"/>
      <c r="E17" s="23"/>
      <c r="G17" s="294"/>
    </row>
    <row r="18" spans="2:7" ht="15" customHeight="1" x14ac:dyDescent="0.4">
      <c r="B18" s="53" t="s">
        <v>167</v>
      </c>
      <c r="D18" s="100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294"/>
    </row>
    <row r="19" spans="2:7" ht="15" customHeight="1" x14ac:dyDescent="0.4">
      <c r="B19" s="53" t="s">
        <v>168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4"/>
    </row>
    <row r="20" spans="2:7" ht="15" customHeight="1" x14ac:dyDescent="0.4">
      <c r="B20" s="53" t="s">
        <v>169</v>
      </c>
      <c r="D20" s="100">
        <f t="shared" si="1"/>
        <v>0</v>
      </c>
      <c r="E20" s="31" t="s">
        <v>179</v>
      </c>
      <c r="F20" s="6"/>
      <c r="G20" s="294"/>
    </row>
    <row r="21" spans="2:7" ht="15" customHeight="1" x14ac:dyDescent="0.4">
      <c r="B21" s="53" t="s">
        <v>170</v>
      </c>
      <c r="D21" s="100">
        <f t="shared" si="1"/>
        <v>3</v>
      </c>
      <c r="E21" s="31" t="s">
        <v>156</v>
      </c>
      <c r="F21" s="6"/>
      <c r="G21" s="294"/>
    </row>
    <row r="22" spans="2:7" ht="15" customHeight="1" x14ac:dyDescent="0.4">
      <c r="B22" s="53" t="s">
        <v>171</v>
      </c>
      <c r="D22" s="100">
        <f t="shared" si="1"/>
        <v>1</v>
      </c>
      <c r="E22" s="31" t="s">
        <v>163</v>
      </c>
      <c r="F22" s="6"/>
      <c r="G22" s="294"/>
    </row>
    <row r="23" spans="2:7" ht="15" customHeight="1" x14ac:dyDescent="0.4">
      <c r="B23" s="99" t="s">
        <v>172</v>
      </c>
      <c r="D23" s="38"/>
      <c r="E23" s="23"/>
      <c r="G23" s="294"/>
    </row>
    <row r="24" spans="2:7" ht="15" customHeight="1" x14ac:dyDescent="0.4">
      <c r="B24" s="53" t="s">
        <v>173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4"/>
    </row>
    <row r="25" spans="2:7" ht="15" customHeight="1" x14ac:dyDescent="0.4">
      <c r="B25" s="53" t="s">
        <v>174</v>
      </c>
      <c r="D25" s="100">
        <f t="shared" si="2"/>
        <v>3</v>
      </c>
      <c r="E25" s="31" t="s">
        <v>156</v>
      </c>
      <c r="F25" s="6"/>
      <c r="G25" s="294"/>
    </row>
    <row r="26" spans="2:7" ht="15" customHeight="1" x14ac:dyDescent="0.4">
      <c r="B26" s="53" t="s">
        <v>286</v>
      </c>
      <c r="D26" s="100">
        <f t="shared" si="2"/>
        <v>2</v>
      </c>
      <c r="E26" s="31" t="s">
        <v>155</v>
      </c>
      <c r="F26" s="6"/>
      <c r="G26" s="294"/>
    </row>
    <row r="27" spans="2:7" ht="15" customHeight="1" x14ac:dyDescent="0.4">
      <c r="B27" s="53" t="s">
        <v>287</v>
      </c>
      <c r="D27" s="100">
        <f t="shared" si="2"/>
        <v>3</v>
      </c>
      <c r="E27" s="31" t="s">
        <v>156</v>
      </c>
      <c r="F27" s="6"/>
      <c r="G27" s="294"/>
    </row>
    <row r="28" spans="2:7" ht="15" customHeight="1" x14ac:dyDescent="0.4">
      <c r="B28" s="53" t="s">
        <v>175</v>
      </c>
      <c r="D28" s="100">
        <f t="shared" si="2"/>
        <v>2</v>
      </c>
      <c r="E28" s="31" t="s">
        <v>155</v>
      </c>
      <c r="F28" s="6"/>
      <c r="G28" s="294"/>
    </row>
    <row r="29" spans="2:7" ht="15" customHeight="1" x14ac:dyDescent="0.4">
      <c r="B29" s="99" t="s">
        <v>176</v>
      </c>
      <c r="D29" s="38"/>
      <c r="E29" s="23"/>
      <c r="G29" s="294"/>
    </row>
    <row r="30" spans="2:7" ht="15" customHeight="1" x14ac:dyDescent="0.4">
      <c r="B30" s="1" t="s">
        <v>177</v>
      </c>
      <c r="D30" s="103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94"/>
    </row>
    <row r="31" spans="2:7" ht="15" customHeight="1" x14ac:dyDescent="0.4">
      <c r="B31" s="53" t="s">
        <v>178</v>
      </c>
      <c r="D31" s="100">
        <f t="shared" ref="D31:D35" si="3">IF(E31="Strongly disagree",0,IF(E31="disagree",1,IF(E31="unclear",2,IF(E31="agree",3,4))))</f>
        <v>0</v>
      </c>
      <c r="E31" s="31" t="s">
        <v>179</v>
      </c>
      <c r="F31" s="6"/>
      <c r="G31" s="294"/>
    </row>
    <row r="32" spans="2:7" ht="15" customHeight="1" x14ac:dyDescent="0.4">
      <c r="B32" s="53" t="s">
        <v>288</v>
      </c>
      <c r="D32" s="100">
        <f t="shared" si="3"/>
        <v>4</v>
      </c>
      <c r="E32" s="31" t="s">
        <v>165</v>
      </c>
      <c r="F32" s="6"/>
      <c r="G32" s="294"/>
    </row>
    <row r="33" spans="2:7" ht="15" customHeight="1" x14ac:dyDescent="0.4">
      <c r="B33" s="53" t="s">
        <v>289</v>
      </c>
      <c r="D33" s="100">
        <f t="shared" si="3"/>
        <v>0</v>
      </c>
      <c r="E33" s="31" t="s">
        <v>179</v>
      </c>
      <c r="F33" s="6"/>
      <c r="G33" s="294"/>
    </row>
    <row r="34" spans="2:7" ht="15" customHeight="1" x14ac:dyDescent="0.4">
      <c r="B34" s="53" t="s">
        <v>290</v>
      </c>
      <c r="D34" s="100">
        <f t="shared" si="3"/>
        <v>3</v>
      </c>
      <c r="E34" s="31" t="s">
        <v>156</v>
      </c>
      <c r="F34" s="6"/>
      <c r="G34" s="294"/>
    </row>
    <row r="35" spans="2:7" ht="15" customHeight="1" x14ac:dyDescent="0.4">
      <c r="B35" s="53" t="s">
        <v>291</v>
      </c>
      <c r="D35" s="100">
        <f t="shared" si="3"/>
        <v>3</v>
      </c>
      <c r="E35" s="31" t="s">
        <v>156</v>
      </c>
      <c r="G35" s="294"/>
    </row>
    <row r="36" spans="2:7" ht="15" customHeight="1" x14ac:dyDescent="0.4">
      <c r="B36" s="1" t="s">
        <v>180</v>
      </c>
      <c r="D36" s="103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4">
      <c r="B37" s="53" t="s">
        <v>181</v>
      </c>
      <c r="D37" s="100">
        <f t="shared" ref="D37:D41" si="4">IF(E37="Strongly disagree",0,IF(E37="disagree",1,IF(E37="unclear",2,IF(E37="agree",3,4))))</f>
        <v>0</v>
      </c>
      <c r="E37" s="31" t="s">
        <v>179</v>
      </c>
      <c r="F37" s="6"/>
      <c r="G37" s="294"/>
    </row>
    <row r="38" spans="2:7" ht="15" customHeight="1" x14ac:dyDescent="0.4">
      <c r="B38" s="53" t="s">
        <v>292</v>
      </c>
      <c r="D38" s="100">
        <f t="shared" si="4"/>
        <v>0</v>
      </c>
      <c r="E38" s="31" t="s">
        <v>179</v>
      </c>
      <c r="F38" s="6"/>
      <c r="G38" s="294"/>
    </row>
    <row r="39" spans="2:7" ht="15" customHeight="1" x14ac:dyDescent="0.4">
      <c r="B39" s="53" t="s">
        <v>293</v>
      </c>
      <c r="D39" s="100">
        <f t="shared" si="4"/>
        <v>3</v>
      </c>
      <c r="E39" s="31" t="s">
        <v>156</v>
      </c>
      <c r="F39" s="6"/>
      <c r="G39" s="294"/>
    </row>
    <row r="40" spans="2:7" ht="15" customHeight="1" x14ac:dyDescent="0.4">
      <c r="B40" s="53" t="s">
        <v>294</v>
      </c>
      <c r="D40" s="100">
        <f t="shared" si="4"/>
        <v>4</v>
      </c>
      <c r="E40" s="31" t="s">
        <v>165</v>
      </c>
      <c r="F40" s="6"/>
      <c r="G40" s="294"/>
    </row>
    <row r="41" spans="2:7" ht="15" customHeight="1" x14ac:dyDescent="0.4">
      <c r="B41" s="53" t="s">
        <v>295</v>
      </c>
      <c r="D41" s="100">
        <f t="shared" si="4"/>
        <v>0</v>
      </c>
      <c r="E41" s="31" t="s">
        <v>179</v>
      </c>
      <c r="G41" s="294"/>
    </row>
    <row r="42" spans="2:7" ht="15" customHeight="1" x14ac:dyDescent="0.4">
      <c r="B42" s="1" t="s">
        <v>182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4">
      <c r="B43" s="53" t="s">
        <v>183</v>
      </c>
      <c r="D43" s="100">
        <f t="shared" ref="D43:D48" si="5">IF(E43="Strongly disagree",0,IF(E43="disagree",1,IF(E43="unclear",2,IF(E43="agree",3,4))))</f>
        <v>0</v>
      </c>
      <c r="E43" s="31" t="s">
        <v>179</v>
      </c>
      <c r="F43" s="6"/>
      <c r="G43" s="294"/>
    </row>
    <row r="44" spans="2:7" ht="15" customHeight="1" x14ac:dyDescent="0.4">
      <c r="B44" s="53" t="s">
        <v>184</v>
      </c>
      <c r="D44" s="100">
        <f t="shared" si="5"/>
        <v>1</v>
      </c>
      <c r="E44" s="31" t="s">
        <v>163</v>
      </c>
      <c r="F44" s="6"/>
      <c r="G44" s="294"/>
    </row>
    <row r="45" spans="2:7" ht="15" customHeight="1" x14ac:dyDescent="0.4">
      <c r="B45" s="53" t="s">
        <v>185</v>
      </c>
      <c r="D45" s="100">
        <f t="shared" si="5"/>
        <v>4</v>
      </c>
      <c r="E45" s="31" t="s">
        <v>165</v>
      </c>
      <c r="F45" s="6"/>
      <c r="G45" s="294"/>
    </row>
    <row r="46" spans="2:7" ht="15" customHeight="1" x14ac:dyDescent="0.4">
      <c r="B46" s="53" t="s">
        <v>186</v>
      </c>
      <c r="D46" s="100">
        <f t="shared" si="5"/>
        <v>0</v>
      </c>
      <c r="E46" s="31" t="s">
        <v>179</v>
      </c>
      <c r="F46" s="6"/>
      <c r="G46" s="294"/>
    </row>
    <row r="47" spans="2:7" ht="15" customHeight="1" x14ac:dyDescent="0.4">
      <c r="B47" s="53" t="s">
        <v>187</v>
      </c>
      <c r="D47" s="100">
        <f t="shared" si="5"/>
        <v>0</v>
      </c>
      <c r="E47" s="31" t="s">
        <v>179</v>
      </c>
      <c r="F47" s="6"/>
      <c r="G47" s="294"/>
    </row>
    <row r="48" spans="2:7" ht="15" customHeight="1" x14ac:dyDescent="0.4">
      <c r="B48" s="53" t="s">
        <v>213</v>
      </c>
      <c r="D48" s="100">
        <f t="shared" si="5"/>
        <v>0</v>
      </c>
      <c r="E48" s="31" t="s">
        <v>179</v>
      </c>
      <c r="F48" s="6"/>
      <c r="G48" s="294"/>
    </row>
    <row r="49" spans="2:8" ht="15" customHeight="1" x14ac:dyDescent="0.4">
      <c r="B49" s="1" t="s">
        <v>188</v>
      </c>
      <c r="D49" s="103">
        <f>SUM(D50:D54)/(5*4)</f>
        <v>9.7278911564625842E-2</v>
      </c>
      <c r="E49" s="49" t="str">
        <f>IF(D49&gt;80%,"Very High",IF(D49&lt;=20%,"Very Low",IF(D49&lt;=40%,"Low",IF(D49&lt;=60%,"Medium","High"))))</f>
        <v>Very Low</v>
      </c>
      <c r="F49" s="6"/>
      <c r="G49" s="294"/>
    </row>
    <row r="50" spans="2:8" ht="15" customHeight="1" x14ac:dyDescent="0.4">
      <c r="B50" s="53" t="s">
        <v>189</v>
      </c>
      <c r="D50" s="100">
        <f t="shared" ref="D50:D52" si="6">IF(E50="Strongly disagree",0,IF(E50="disagree",1,IF(E50="unclear",2,IF(E50="agree",3,4))))</f>
        <v>0</v>
      </c>
      <c r="E50" s="31" t="s">
        <v>179</v>
      </c>
      <c r="G50" s="294"/>
    </row>
    <row r="51" spans="2:8" ht="15" customHeight="1" x14ac:dyDescent="0.4">
      <c r="B51" s="53" t="s">
        <v>190</v>
      </c>
      <c r="D51" s="100">
        <f t="shared" si="6"/>
        <v>0</v>
      </c>
      <c r="E51" s="31" t="s">
        <v>179</v>
      </c>
      <c r="F51" s="6"/>
      <c r="G51" s="294"/>
    </row>
    <row r="52" spans="2:8" ht="15" customHeight="1" x14ac:dyDescent="0.4">
      <c r="B52" s="53" t="s">
        <v>296</v>
      </c>
      <c r="D52" s="100">
        <f t="shared" si="6"/>
        <v>0</v>
      </c>
      <c r="E52" s="31" t="s">
        <v>179</v>
      </c>
      <c r="G52" s="294"/>
    </row>
    <row r="53" spans="2:8" ht="15" customHeight="1" x14ac:dyDescent="0.4">
      <c r="B53" s="53" t="s">
        <v>297</v>
      </c>
      <c r="D53" s="100">
        <f>IF(E53="Strongly disagree",0,IF(E53="disagree",1,IF(E53="unclear",2,IF(E53="agree",3,4))))</f>
        <v>0</v>
      </c>
      <c r="E53" s="31" t="s">
        <v>179</v>
      </c>
      <c r="F53" s="53"/>
      <c r="G53" s="294"/>
      <c r="H53" s="53"/>
    </row>
    <row r="54" spans="2:8" ht="15" customHeight="1" x14ac:dyDescent="0.4">
      <c r="B54" s="53" t="s">
        <v>298</v>
      </c>
      <c r="D54" s="104">
        <f t="array" ref="D54">(1-INDEX(B68:E77,MATCH(E54,B68:B77,0),4))*4</f>
        <v>1.9455782312925169</v>
      </c>
      <c r="E54" s="31" t="s">
        <v>310</v>
      </c>
      <c r="F54" s="53"/>
      <c r="G54" s="294"/>
      <c r="H54" s="53"/>
    </row>
    <row r="55" spans="2:8" ht="15" customHeight="1" x14ac:dyDescent="0.4">
      <c r="B55" s="1" t="s">
        <v>191</v>
      </c>
      <c r="D55" s="10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4">
      <c r="B56" s="53" t="s">
        <v>192</v>
      </c>
      <c r="D56" s="100">
        <f t="shared" ref="D56:D60" si="7">IF(E56="Strongly disagree",0,IF(E56="disagree",1,IF(E56="unclear",2,IF(E56="agree",3,4))))</f>
        <v>1</v>
      </c>
      <c r="E56" s="31" t="s">
        <v>163</v>
      </c>
      <c r="F56" s="53"/>
      <c r="G56" s="294"/>
      <c r="H56" s="53"/>
    </row>
    <row r="57" spans="2:8" ht="15" customHeight="1" x14ac:dyDescent="0.4">
      <c r="B57" s="53" t="s">
        <v>193</v>
      </c>
      <c r="D57" s="100">
        <f t="shared" si="7"/>
        <v>2</v>
      </c>
      <c r="E57" s="31" t="s">
        <v>155</v>
      </c>
      <c r="F57" s="53"/>
      <c r="G57" s="294"/>
      <c r="H57" s="53"/>
    </row>
    <row r="58" spans="2:8" ht="15" customHeight="1" x14ac:dyDescent="0.4">
      <c r="B58" s="53" t="s">
        <v>214</v>
      </c>
      <c r="D58" s="100">
        <f t="shared" si="7"/>
        <v>1</v>
      </c>
      <c r="E58" s="31" t="s">
        <v>163</v>
      </c>
      <c r="F58" s="53"/>
      <c r="G58" s="294"/>
      <c r="H58" s="53"/>
    </row>
    <row r="59" spans="2:8" ht="15" customHeight="1" x14ac:dyDescent="0.4">
      <c r="B59" s="53" t="s">
        <v>215</v>
      </c>
      <c r="D59" s="100">
        <f t="shared" si="7"/>
        <v>4</v>
      </c>
      <c r="E59" s="31" t="s">
        <v>165</v>
      </c>
      <c r="F59" s="53"/>
      <c r="G59" s="294"/>
      <c r="H59" s="53"/>
    </row>
    <row r="60" spans="2:8" ht="15" customHeight="1" x14ac:dyDescent="0.4">
      <c r="B60" s="53" t="s">
        <v>216</v>
      </c>
      <c r="D60" s="100">
        <f t="shared" si="7"/>
        <v>4</v>
      </c>
      <c r="E60" s="31" t="s">
        <v>165</v>
      </c>
      <c r="F60" s="53"/>
      <c r="G60" s="294"/>
      <c r="H60" s="53"/>
    </row>
    <row r="61" spans="2:8" ht="15" customHeight="1" x14ac:dyDescent="0.4">
      <c r="B61" s="53" t="s">
        <v>217</v>
      </c>
      <c r="D61" s="100">
        <f>IF(E61="Strongly disagree",0,IF(E61="disagree",1,IF(E61="non-perishable",2,IF(E61="agree",3,4))))</f>
        <v>4</v>
      </c>
      <c r="E61" s="31" t="s">
        <v>165</v>
      </c>
      <c r="F61" s="53"/>
      <c r="G61" s="294"/>
      <c r="H61" s="53"/>
    </row>
    <row r="62" spans="2:8" ht="15" customHeight="1" x14ac:dyDescent="0.4">
      <c r="B62" s="146" t="s">
        <v>194</v>
      </c>
      <c r="D62" s="126">
        <f>1-AVERAGE(D30,D36,D42,D49,D55)</f>
        <v>0.63554421768707481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4">
      <c r="D63" s="6"/>
      <c r="G63" s="294"/>
    </row>
    <row r="64" spans="2:8" ht="15" customHeight="1" x14ac:dyDescent="0.4">
      <c r="B64" s="97" t="s">
        <v>195</v>
      </c>
      <c r="D64" s="94">
        <f>E64*4</f>
        <v>2.4355442176870747</v>
      </c>
      <c r="E64" s="125">
        <f>AVERAGE(AVERAGE(D12:D16)/4,AVERAGE(D18:D22)/4,AVERAGE(D24:D28)/4,D62)</f>
        <v>0.60888605442176869</v>
      </c>
      <c r="G64" s="294"/>
    </row>
    <row r="65" spans="2:7" ht="15" customHeight="1" x14ac:dyDescent="0.4">
      <c r="G65" s="295"/>
    </row>
    <row r="66" spans="2:7" ht="15" customHeight="1" x14ac:dyDescent="0.4">
      <c r="B66" s="54" t="s">
        <v>196</v>
      </c>
      <c r="C66" s="7"/>
      <c r="D66" s="7"/>
      <c r="E66" s="55"/>
    </row>
    <row r="67" spans="2:7" ht="15" customHeight="1" x14ac:dyDescent="0.4">
      <c r="B67" s="106" t="s">
        <v>197</v>
      </c>
      <c r="C67" s="107"/>
      <c r="D67" s="107"/>
      <c r="E67" s="108"/>
    </row>
    <row r="68" spans="2:7" ht="15" customHeight="1" x14ac:dyDescent="0.4">
      <c r="B68" s="109" t="s">
        <v>198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4">
      <c r="B69" s="109" t="str">
        <f t="shared" ref="B69:B77" si="9">C69&amp;", "&amp;D69&amp;"y"</f>
        <v>Information Technology Like, 6.6y</v>
      </c>
      <c r="C69" s="107" t="s">
        <v>199</v>
      </c>
      <c r="D69" s="107">
        <v>6.6</v>
      </c>
      <c r="E69" s="110">
        <f t="shared" si="8"/>
        <v>0.22448979591836735</v>
      </c>
    </row>
    <row r="70" spans="2:7" ht="15" customHeight="1" x14ac:dyDescent="0.4">
      <c r="B70" s="109" t="str">
        <f t="shared" si="9"/>
        <v>Healthcare, 11.4y</v>
      </c>
      <c r="C70" s="107" t="s">
        <v>200</v>
      </c>
      <c r="D70" s="107">
        <v>11.4</v>
      </c>
      <c r="E70" s="110">
        <f t="shared" si="8"/>
        <v>0.38775510204081637</v>
      </c>
    </row>
    <row r="71" spans="2:7" ht="15" customHeight="1" x14ac:dyDescent="0.4">
      <c r="B71" s="109" t="str">
        <f t="shared" si="9"/>
        <v>Consumer Discretionary, 12.4y</v>
      </c>
      <c r="C71" s="107" t="s">
        <v>201</v>
      </c>
      <c r="D71" s="107">
        <v>12.4</v>
      </c>
      <c r="E71" s="110">
        <f t="shared" si="8"/>
        <v>0.42176870748299322</v>
      </c>
    </row>
    <row r="72" spans="2:7" ht="15" customHeight="1" x14ac:dyDescent="0.4">
      <c r="B72" s="109" t="str">
        <f t="shared" si="9"/>
        <v>Consumer Staples, 15.1y</v>
      </c>
      <c r="C72" s="107" t="s">
        <v>202</v>
      </c>
      <c r="D72" s="107">
        <v>15.1</v>
      </c>
      <c r="E72" s="110">
        <f t="shared" si="8"/>
        <v>0.51360544217687076</v>
      </c>
    </row>
    <row r="73" spans="2:7" ht="15" customHeight="1" x14ac:dyDescent="0.4">
      <c r="B73" s="109" t="str">
        <f t="shared" si="9"/>
        <v>Industrials, 15.4y</v>
      </c>
      <c r="C73" s="107" t="s">
        <v>203</v>
      </c>
      <c r="D73" s="107">
        <v>15.4</v>
      </c>
      <c r="E73" s="110">
        <f t="shared" si="8"/>
        <v>0.52380952380952384</v>
      </c>
    </row>
    <row r="74" spans="2:7" ht="15" customHeight="1" x14ac:dyDescent="0.4">
      <c r="B74" s="109" t="str">
        <f t="shared" si="9"/>
        <v>Telecommunication Services, 16.1y</v>
      </c>
      <c r="C74" s="107" t="s">
        <v>204</v>
      </c>
      <c r="D74" s="107">
        <v>16.100000000000001</v>
      </c>
      <c r="E74" s="110">
        <f t="shared" si="8"/>
        <v>0.54761904761904767</v>
      </c>
    </row>
    <row r="75" spans="2:7" ht="15" customHeight="1" x14ac:dyDescent="0.4">
      <c r="B75" s="109" t="str">
        <f t="shared" si="9"/>
        <v>Energy, 17.6y</v>
      </c>
      <c r="C75" s="107" t="s">
        <v>205</v>
      </c>
      <c r="D75" s="107">
        <v>17.600000000000001</v>
      </c>
      <c r="E75" s="110">
        <f t="shared" si="8"/>
        <v>0.59863945578231303</v>
      </c>
    </row>
    <row r="76" spans="2:7" ht="15" customHeight="1" x14ac:dyDescent="0.4">
      <c r="B76" s="109" t="str">
        <f t="shared" si="9"/>
        <v>Materials, 18.6y</v>
      </c>
      <c r="C76" s="107" t="s">
        <v>206</v>
      </c>
      <c r="D76" s="107">
        <v>18.600000000000001</v>
      </c>
      <c r="E76" s="110">
        <f t="shared" si="8"/>
        <v>0.63265306122448983</v>
      </c>
    </row>
    <row r="77" spans="2:7" ht="15" customHeight="1" x14ac:dyDescent="0.4">
      <c r="B77" s="111" t="str">
        <f t="shared" si="9"/>
        <v>Utilities, 29.4y</v>
      </c>
      <c r="C77" s="112" t="s">
        <v>207</v>
      </c>
      <c r="D77" s="112">
        <v>29.4</v>
      </c>
      <c r="E77" s="113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2023-03-29T15:19:13Z</dcterms:modified>
  <cp:category/>
  <cp:contentStatus/>
</cp:coreProperties>
</file>