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wx12\PycharmProjects\Invest_Proc\financial_models\Opportunities\"/>
    </mc:Choice>
  </mc:AlternateContent>
  <xr:revisionPtr revIDLastSave="0" documentId="13_ncr:1_{3F690C2E-0E33-434E-A405-B8E0BC18E3F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91029" iterate="1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8" i="1" l="1"/>
  <c r="F49" i="1"/>
  <c r="D49" i="1"/>
  <c r="E50" i="1"/>
  <c r="F50" i="1"/>
  <c r="C50" i="1"/>
  <c r="B50" i="1"/>
  <c r="E49" i="1"/>
  <c r="D65" i="3"/>
  <c r="C33" i="2"/>
  <c r="C34" i="2"/>
  <c r="C14" i="2"/>
  <c r="C16" i="2"/>
  <c r="C35" i="2"/>
  <c r="C6" i="4"/>
  <c r="I10" i="1"/>
  <c r="D4" i="3"/>
  <c r="C50" i="3"/>
  <c r="E50" i="3"/>
  <c r="E11" i="3"/>
  <c r="E12" i="3"/>
  <c r="E13" i="3"/>
  <c r="E14" i="3"/>
  <c r="E15" i="3"/>
  <c r="E16" i="3"/>
  <c r="C17" i="3"/>
  <c r="E17" i="3"/>
  <c r="E18" i="3"/>
  <c r="E19" i="3"/>
  <c r="E20" i="3"/>
  <c r="E21" i="3"/>
  <c r="E22" i="3"/>
  <c r="E26" i="3"/>
  <c r="E29" i="3"/>
  <c r="E30" i="3"/>
  <c r="E31" i="3"/>
  <c r="E32" i="3"/>
  <c r="E33" i="3"/>
  <c r="E34" i="3"/>
  <c r="E35" i="3"/>
  <c r="C36" i="3"/>
  <c r="E36" i="3"/>
  <c r="E37" i="3"/>
  <c r="E38" i="3"/>
  <c r="E39" i="3"/>
  <c r="E40" i="3"/>
  <c r="E42" i="3"/>
  <c r="E46" i="3"/>
  <c r="I46" i="3"/>
  <c r="E4" i="7"/>
  <c r="E5" i="7"/>
  <c r="E6" i="7"/>
  <c r="E7" i="7"/>
  <c r="E8" i="7"/>
  <c r="C8" i="7"/>
  <c r="C11" i="7"/>
  <c r="E11" i="7"/>
  <c r="E10" i="7"/>
  <c r="E12" i="7"/>
  <c r="C14" i="7"/>
  <c r="E14" i="7"/>
  <c r="E17" i="7"/>
  <c r="E20" i="7"/>
  <c r="D4" i="4"/>
  <c r="D6" i="3"/>
  <c r="D7" i="3"/>
  <c r="C21" i="4"/>
  <c r="E59" i="3"/>
  <c r="C18" i="4"/>
  <c r="G19" i="3"/>
  <c r="G20" i="3"/>
  <c r="G31" i="3"/>
  <c r="G33" i="3"/>
  <c r="G34" i="3"/>
  <c r="G35" i="3"/>
  <c r="E58" i="3"/>
  <c r="C19" i="4"/>
  <c r="D53" i="3"/>
  <c r="D52" i="3"/>
  <c r="C20" i="4"/>
  <c r="G18" i="4"/>
  <c r="G19" i="4"/>
  <c r="G29" i="4"/>
  <c r="I17" i="7"/>
  <c r="I20" i="7"/>
  <c r="F4" i="4"/>
  <c r="G17" i="7"/>
  <c r="G20" i="7"/>
  <c r="E4" i="4"/>
  <c r="D7" i="4"/>
  <c r="D8" i="4"/>
  <c r="G8" i="4"/>
  <c r="G9" i="4"/>
  <c r="D3" i="5"/>
  <c r="D4" i="5"/>
  <c r="D12" i="5"/>
  <c r="D13" i="5"/>
  <c r="D14" i="5"/>
  <c r="D15" i="5"/>
  <c r="D16" i="5"/>
  <c r="D5" i="5"/>
  <c r="D24" i="5"/>
  <c r="D25" i="5"/>
  <c r="D26" i="5"/>
  <c r="D27" i="5"/>
  <c r="D28" i="5"/>
  <c r="D6" i="5"/>
  <c r="E24" i="3"/>
  <c r="I15" i="3"/>
  <c r="I24" i="3"/>
  <c r="J24" i="3"/>
  <c r="E25" i="3"/>
  <c r="I25" i="3"/>
  <c r="C26" i="3"/>
  <c r="J25" i="3"/>
  <c r="E44" i="3"/>
  <c r="I44" i="3"/>
  <c r="J44" i="3"/>
  <c r="E45" i="3"/>
  <c r="I45" i="3"/>
  <c r="C42" i="3"/>
  <c r="C46" i="3"/>
  <c r="J45" i="3"/>
  <c r="J26" i="3"/>
  <c r="D18" i="5"/>
  <c r="D19" i="5"/>
  <c r="D20" i="5"/>
  <c r="D21" i="5"/>
  <c r="D22" i="5"/>
  <c r="D31" i="5"/>
  <c r="D32" i="5"/>
  <c r="D33" i="5"/>
  <c r="D34" i="5"/>
  <c r="D35" i="5"/>
  <c r="D30" i="5"/>
  <c r="D37" i="5"/>
  <c r="D38" i="5"/>
  <c r="D39" i="5"/>
  <c r="D40" i="5"/>
  <c r="D41" i="5"/>
  <c r="D36" i="5"/>
  <c r="D43" i="5"/>
  <c r="D44" i="5"/>
  <c r="D45" i="5"/>
  <c r="D46" i="5"/>
  <c r="D47" i="5"/>
  <c r="D48" i="5"/>
  <c r="D42" i="5"/>
  <c r="D50" i="5"/>
  <c r="D51" i="5"/>
  <c r="D52" i="5"/>
  <c r="D53" i="5"/>
  <c r="B69" i="5"/>
  <c r="B70" i="5"/>
  <c r="B71" i="5"/>
  <c r="E71" i="5"/>
  <c r="D54" i="5" a="1"/>
  <c r="D54" i="5"/>
  <c r="D49" i="5"/>
  <c r="D56" i="5"/>
  <c r="D57" i="5"/>
  <c r="D58" i="5"/>
  <c r="D59" i="5"/>
  <c r="D60" i="5"/>
  <c r="D61" i="5"/>
  <c r="D55" i="5"/>
  <c r="D62" i="5"/>
  <c r="E64" i="5"/>
  <c r="D64" i="5"/>
  <c r="E7" i="5"/>
  <c r="D7" i="5"/>
  <c r="D8" i="5"/>
  <c r="E8" i="5"/>
  <c r="C35" i="1"/>
  <c r="B18" i="1"/>
  <c r="B15" i="1"/>
  <c r="G24" i="4"/>
  <c r="F24" i="4"/>
  <c r="G34" i="4"/>
  <c r="I16" i="7"/>
  <c r="I3" i="7"/>
  <c r="F3" i="4"/>
  <c r="G3" i="7"/>
  <c r="E3" i="4"/>
  <c r="G4" i="4"/>
  <c r="C12" i="1"/>
  <c r="D13" i="4"/>
  <c r="D14" i="4"/>
  <c r="F43" i="1"/>
  <c r="F39" i="1"/>
  <c r="F40" i="1"/>
  <c r="F41" i="1"/>
  <c r="E8" i="4"/>
  <c r="E9" i="4"/>
  <c r="E15" i="4"/>
  <c r="F8" i="4"/>
  <c r="F9" i="4"/>
  <c r="F15" i="4"/>
  <c r="B16" i="1"/>
  <c r="D18" i="4"/>
  <c r="F21" i="4"/>
  <c r="C15" i="4"/>
  <c r="F5" i="7"/>
  <c r="F6" i="7"/>
  <c r="F7" i="7"/>
  <c r="F4" i="7"/>
  <c r="D5" i="7"/>
  <c r="D7" i="7"/>
  <c r="D4" i="7"/>
  <c r="D6" i="7"/>
  <c r="E6" i="1"/>
  <c r="C3" i="7"/>
  <c r="E26" i="1"/>
  <c r="C36" i="1"/>
  <c r="E7" i="3"/>
  <c r="C26" i="4"/>
  <c r="G34" i="2"/>
  <c r="H34" i="2"/>
  <c r="I34" i="2"/>
  <c r="J34" i="2"/>
  <c r="K34" i="2"/>
  <c r="L34" i="2"/>
  <c r="M34" i="2"/>
  <c r="F34" i="2"/>
  <c r="H52" i="2"/>
  <c r="D52" i="2"/>
  <c r="E52" i="2"/>
  <c r="F52" i="2"/>
  <c r="G52" i="2"/>
  <c r="I52" i="2"/>
  <c r="J52" i="2"/>
  <c r="K52" i="2"/>
  <c r="L52" i="2"/>
  <c r="M52" i="2"/>
  <c r="C52" i="2"/>
  <c r="E16" i="1"/>
  <c r="E13" i="7"/>
  <c r="D20" i="2"/>
  <c r="E20" i="2"/>
  <c r="F20" i="2"/>
  <c r="G20" i="2"/>
  <c r="H20" i="2"/>
  <c r="I20" i="2"/>
  <c r="J20" i="2"/>
  <c r="K20" i="2"/>
  <c r="L20" i="2"/>
  <c r="M20" i="2"/>
  <c r="C20" i="2"/>
  <c r="G16" i="3"/>
  <c r="I10" i="7"/>
  <c r="I12" i="7"/>
  <c r="C6" i="2"/>
  <c r="D6" i="2"/>
  <c r="E6" i="2"/>
  <c r="F6" i="2"/>
  <c r="G6" i="2"/>
  <c r="H6" i="2"/>
  <c r="I6" i="2"/>
  <c r="J6" i="2"/>
  <c r="K6" i="2"/>
  <c r="L6" i="2"/>
  <c r="M6" i="2"/>
  <c r="C27" i="2"/>
  <c r="D27" i="2"/>
  <c r="E27" i="2"/>
  <c r="F27" i="2"/>
  <c r="I15" i="7"/>
  <c r="I4" i="3"/>
  <c r="D6" i="1"/>
  <c r="C29" i="4"/>
  <c r="C3" i="4"/>
  <c r="E3" i="7"/>
  <c r="B3" i="4"/>
  <c r="C17" i="4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/>
  <c r="C58" i="3"/>
  <c r="D3" i="4"/>
  <c r="C13" i="7"/>
  <c r="B3" i="7"/>
  <c r="C12" i="7"/>
  <c r="C17" i="7"/>
  <c r="C20" i="7"/>
  <c r="E9" i="7"/>
  <c r="C4" i="4"/>
  <c r="C7" i="4"/>
  <c r="C8" i="4"/>
  <c r="C9" i="4"/>
  <c r="C19" i="7"/>
  <c r="C15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/>
  <c r="C39" i="2"/>
  <c r="C7" i="1"/>
  <c r="C24" i="3"/>
  <c r="I8" i="3"/>
  <c r="E18" i="7"/>
  <c r="E19" i="7"/>
  <c r="G10" i="7"/>
  <c r="D20" i="4"/>
  <c r="I53" i="3"/>
  <c r="C44" i="3"/>
  <c r="C25" i="3"/>
  <c r="I7" i="3"/>
  <c r="E16" i="7"/>
  <c r="G12" i="7"/>
  <c r="B24" i="4"/>
  <c r="G2" i="4"/>
  <c r="E15" i="7"/>
  <c r="C45" i="3"/>
  <c r="G16" i="7"/>
  <c r="G18" i="7"/>
  <c r="I18" i="7"/>
  <c r="I19" i="7"/>
  <c r="G15" i="7"/>
  <c r="D5" i="4"/>
  <c r="G19" i="7"/>
  <c r="F5" i="4"/>
  <c r="E5" i="4"/>
  <c r="D43" i="2"/>
  <c r="E43" i="2"/>
  <c r="G27" i="2"/>
  <c r="H27" i="2"/>
  <c r="I27" i="2"/>
  <c r="J27" i="2"/>
  <c r="K27" i="2"/>
  <c r="L27" i="2"/>
  <c r="M27" i="2"/>
  <c r="D59" i="3"/>
  <c r="C42" i="2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5" i="2"/>
  <c r="F32" i="2"/>
  <c r="C13" i="2"/>
  <c r="C12" i="2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K14" i="2"/>
  <c r="M12" i="2"/>
  <c r="M10" i="2"/>
  <c r="L10" i="2"/>
  <c r="K10" i="2"/>
  <c r="H10" i="2"/>
  <c r="G10" i="2"/>
  <c r="D10" i="2"/>
  <c r="L14" i="2"/>
  <c r="L44" i="2"/>
  <c r="J14" i="2"/>
  <c r="I10" i="2"/>
  <c r="H14" i="2"/>
  <c r="G14" i="2"/>
  <c r="F14" i="2"/>
  <c r="F44" i="2"/>
  <c r="E10" i="2"/>
  <c r="L8" i="2"/>
  <c r="K8" i="2"/>
  <c r="J8" i="2"/>
  <c r="I8" i="2"/>
  <c r="H8" i="2"/>
  <c r="G8" i="2"/>
  <c r="F8" i="2"/>
  <c r="E8" i="2"/>
  <c r="D8" i="2"/>
  <c r="F3" i="2" a="1"/>
  <c r="F3" i="2"/>
  <c r="I9" i="1"/>
  <c r="J9" i="1"/>
  <c r="G31" i="1"/>
  <c r="G27" i="1"/>
  <c r="E31" i="1"/>
  <c r="E27" i="1"/>
  <c r="C31" i="1"/>
  <c r="G30" i="1"/>
  <c r="E30" i="1"/>
  <c r="C30" i="1"/>
  <c r="I28" i="1"/>
  <c r="I6" i="1"/>
  <c r="C2" i="1"/>
  <c r="D63" i="3"/>
  <c r="D33" i="2"/>
  <c r="D34" i="2"/>
  <c r="I6" i="3"/>
  <c r="D58" i="3"/>
  <c r="E33" i="2"/>
  <c r="E34" i="2"/>
  <c r="E32" i="1"/>
  <c r="E33" i="1"/>
  <c r="J16" i="2"/>
  <c r="J45" i="2"/>
  <c r="J44" i="2"/>
  <c r="G16" i="2"/>
  <c r="G45" i="2"/>
  <c r="G44" i="2"/>
  <c r="H16" i="2"/>
  <c r="H45" i="2"/>
  <c r="H44" i="2"/>
  <c r="M13" i="2"/>
  <c r="M44" i="2"/>
  <c r="K16" i="2"/>
  <c r="K45" i="2"/>
  <c r="K44" i="2"/>
  <c r="C44" i="2"/>
  <c r="C43" i="2"/>
  <c r="C23" i="4"/>
  <c r="E42" i="5"/>
  <c r="E3" i="3"/>
  <c r="E30" i="5"/>
  <c r="F16" i="2"/>
  <c r="F45" i="2"/>
  <c r="K15" i="2"/>
  <c r="L16" i="2"/>
  <c r="L45" i="2"/>
  <c r="L15" i="2"/>
  <c r="M16" i="2"/>
  <c r="M45" i="2"/>
  <c r="C17" i="2"/>
  <c r="F15" i="2"/>
  <c r="G15" i="2"/>
  <c r="J15" i="2"/>
  <c r="C27" i="1"/>
  <c r="I27" i="1"/>
  <c r="I31" i="1"/>
  <c r="I32" i="1"/>
  <c r="I33" i="1"/>
  <c r="C46" i="2"/>
  <c r="D42" i="3"/>
  <c r="G13" i="2"/>
  <c r="G12" i="2"/>
  <c r="F13" i="2"/>
  <c r="J13" i="2"/>
  <c r="D14" i="2"/>
  <c r="H13" i="2"/>
  <c r="H12" i="2"/>
  <c r="L13" i="2"/>
  <c r="L12" i="2"/>
  <c r="F10" i="2"/>
  <c r="J10" i="2"/>
  <c r="J12" i="2"/>
  <c r="E14" i="2"/>
  <c r="I14" i="2"/>
  <c r="F4" i="2"/>
  <c r="K13" i="2"/>
  <c r="K12" i="2"/>
  <c r="E55" i="5"/>
  <c r="C25" i="4"/>
  <c r="D24" i="3"/>
  <c r="I16" i="2"/>
  <c r="I45" i="2"/>
  <c r="I44" i="2"/>
  <c r="E16" i="2"/>
  <c r="E44" i="2"/>
  <c r="D16" i="2"/>
  <c r="D44" i="2"/>
  <c r="D19" i="4"/>
  <c r="E49" i="5"/>
  <c r="H15" i="2"/>
  <c r="I15" i="2"/>
  <c r="D15" i="2"/>
  <c r="E15" i="2"/>
  <c r="C15" i="2"/>
  <c r="F12" i="2"/>
  <c r="H17" i="2"/>
  <c r="F17" i="2"/>
  <c r="E13" i="2"/>
  <c r="E12" i="2"/>
  <c r="D26" i="3"/>
  <c r="E36" i="5"/>
  <c r="K17" i="2"/>
  <c r="D13" i="2"/>
  <c r="D12" i="2"/>
  <c r="J17" i="2"/>
  <c r="G17" i="2"/>
  <c r="I13" i="2"/>
  <c r="I12" i="2"/>
  <c r="L17" i="2"/>
  <c r="D44" i="3"/>
  <c r="C27" i="4"/>
  <c r="D45" i="3"/>
  <c r="D25" i="3"/>
  <c r="E45" i="2"/>
  <c r="E35" i="2"/>
  <c r="D45" i="2"/>
  <c r="D35" i="2"/>
  <c r="E62" i="5"/>
  <c r="E17" i="2"/>
  <c r="I17" i="2"/>
  <c r="D17" i="2"/>
  <c r="D46" i="3"/>
  <c r="E6" i="5"/>
  <c r="D50" i="3"/>
  <c r="E18" i="5"/>
  <c r="D60" i="3"/>
  <c r="D21" i="4"/>
  <c r="G21" i="4"/>
  <c r="D49" i="3"/>
  <c r="H16" i="1"/>
  <c r="E6" i="3"/>
  <c r="E20" i="4"/>
  <c r="J16" i="1"/>
  <c r="J10" i="1"/>
  <c r="F16" i="1"/>
  <c r="F13" i="4"/>
  <c r="E13" i="4"/>
  <c r="E14" i="4"/>
  <c r="F14" i="4"/>
  <c r="J18" i="1"/>
  <c r="F18" i="1"/>
  <c r="E5" i="5"/>
  <c r="D9" i="4"/>
  <c r="D10" i="4"/>
  <c r="E27" i="4"/>
  <c r="F27" i="4"/>
  <c r="G27" i="4"/>
  <c r="E25" i="4"/>
  <c r="F25" i="4"/>
  <c r="G25" i="4"/>
  <c r="C30" i="4"/>
  <c r="E26" i="4"/>
  <c r="F26" i="4"/>
  <c r="G26" i="4"/>
  <c r="E30" i="4"/>
  <c r="G12" i="4"/>
  <c r="C34" i="4"/>
  <c r="F34" i="4"/>
  <c r="D15" i="4"/>
  <c r="C10" i="4"/>
  <c r="G13" i="4"/>
  <c r="G14" i="4"/>
  <c r="G15" i="4"/>
  <c r="C11" i="1"/>
  <c r="E34" i="4"/>
  <c r="F14" i="1"/>
  <c r="I35" i="1"/>
  <c r="D14" i="1"/>
  <c r="F46" i="1"/>
  <c r="D30" i="4"/>
  <c r="C33" i="4"/>
  <c r="I36" i="1"/>
  <c r="F45" i="1"/>
  <c r="H14" i="1"/>
  <c r="B17" i="1"/>
  <c r="F33" i="4"/>
  <c r="E33" i="4"/>
  <c r="D18" i="1"/>
  <c r="D17" i="1"/>
  <c r="J25" i="1"/>
  <c r="J17" i="1"/>
  <c r="D16" i="1"/>
  <c r="F17" i="1"/>
  <c r="F42" i="1"/>
  <c r="E42" i="1"/>
</calcChain>
</file>

<file path=xl/sharedStrings.xml><?xml version="1.0" encoding="utf-8"?>
<sst xmlns="http://schemas.openxmlformats.org/spreadsheetml/2006/main" count="416" uniqueCount="352">
  <si>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</si>
  <si>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</si>
  <si>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</si>
  <si>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</si>
  <si>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</si>
  <si>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</si>
  <si>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</si>
  <si>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</si>
  <si>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</si>
  <si>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</si>
  <si>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</si>
  <si>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</si>
  <si>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</si>
  <si>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</si>
  <si>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</si>
  <si>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</si>
  <si>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</si>
  <si>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</si>
  <si>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</si>
  <si>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</si>
  <si>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</si>
  <si>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</si>
  <si>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</si>
  <si>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</si>
  <si>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</si>
  <si>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</si>
  <si>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</si>
  <si>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</si>
  <si>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</si>
  <si>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</si>
  <si>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</si>
  <si>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</si>
  <si>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</si>
  <si>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</si>
  <si>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</si>
  <si>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</si>
  <si>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</si>
  <si>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</si>
  <si>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</si>
  <si>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</si>
  <si>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</si>
  <si>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</si>
  <si>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</si>
  <si>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</si>
  <si>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</si>
  <si>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</si>
  <si>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</si>
  <si>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</si>
  <si>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</si>
  <si>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</si>
  <si>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</si>
  <si>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</si>
  <si>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</si>
  <si>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</si>
  <si>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</si>
  <si>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</si>
  <si>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</si>
  <si>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</si>
  <si>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</si>
  <si>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</si>
  <si>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</si>
  <si>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</si>
  <si>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</si>
  <si>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</si>
  <si>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</si>
  <si>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</si>
  <si>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</si>
  <si>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</si>
  <si>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</si>
  <si>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</si>
  <si>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</si>
  <si>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</si>
  <si>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</si>
  <si>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</si>
  <si>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</si>
  <si>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</si>
  <si>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</si>
  <si>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</si>
  <si>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</si>
  <si>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</si>
  <si>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</si>
  <si>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</si>
  <si>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</si>
  <si>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</si>
  <si>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</si>
  <si>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</si>
  <si>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</si>
  <si>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</si>
  <si>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</si>
  <si>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</si>
  <si>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</si>
  <si>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</si>
  <si>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</si>
  <si>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</si>
  <si>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</si>
  <si>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</si>
  <si>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</si>
  <si>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</si>
  <si>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</si>
  <si>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</si>
  <si>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</si>
  <si>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</si>
  <si>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</si>
  <si>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</si>
  <si>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</si>
  <si>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</si>
  <si>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</si>
  <si>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</si>
  <si>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</si>
  <si>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</si>
  <si>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</si>
  <si>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</si>
  <si>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</si>
  <si>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</si>
  <si>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</si>
  <si>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</si>
  <si>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</si>
  <si>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</si>
  <si>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</si>
  <si>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</si>
  <si>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</si>
  <si>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</si>
  <si>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</si>
  <si>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</si>
  <si>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</si>
  <si>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</si>
  <si>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</si>
  <si>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</si>
  <si>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</si>
  <si>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</si>
  <si>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</si>
  <si>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</si>
  <si>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</si>
  <si>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</si>
  <si>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</si>
  <si>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</si>
  <si>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</si>
  <si>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</si>
  <si>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</si>
  <si>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</si>
  <si>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</si>
  <si>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</si>
  <si>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</si>
  <si>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</si>
  <si>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</si>
  <si>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</si>
  <si>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</si>
  <si>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</si>
  <si>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</si>
  <si>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</si>
  <si>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</si>
  <si>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</si>
  <si>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</si>
  <si>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</si>
  <si>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</si>
  <si>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</si>
  <si>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</si>
  <si>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</si>
  <si>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</si>
  <si>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</si>
  <si>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</si>
  <si>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</si>
  <si>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</si>
  <si>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</si>
  <si>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</si>
  <si>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</si>
  <si>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</si>
  <si>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</si>
  <si>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</si>
  <si>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</si>
  <si>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</si>
  <si>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</si>
  <si>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</si>
  <si>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</si>
  <si>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</si>
  <si>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</si>
  <si>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</si>
  <si>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</si>
  <si>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</si>
  <si>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</si>
  <si>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</si>
  <si>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</si>
  <si>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</si>
  <si>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</si>
  <si>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</si>
  <si>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</si>
  <si>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</si>
  <si>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</si>
  <si>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</si>
  <si>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</si>
  <si>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</si>
  <si>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</si>
  <si>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</si>
  <si>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</si>
  <si>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</si>
  <si>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</si>
  <si>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</si>
  <si>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</si>
  <si>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</si>
  <si>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</si>
  <si>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</si>
  <si>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</si>
  <si>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</si>
  <si>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</si>
  <si>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</si>
  <si>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</si>
  <si>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</si>
  <si>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</si>
  <si>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</si>
  <si>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</si>
  <si>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</si>
  <si>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</si>
  <si>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</si>
  <si>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</si>
  <si>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</si>
  <si>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</si>
  <si>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</si>
  <si>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</si>
  <si>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</si>
  <si>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</si>
  <si>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</si>
  <si>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</si>
  <si>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</si>
  <si>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</si>
  <si>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</si>
  <si>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</si>
  <si>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</si>
  <si>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</si>
  <si>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</si>
  <si>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</si>
  <si>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</si>
  <si>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</si>
  <si>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</si>
  <si>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</si>
  <si>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</si>
  <si>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</si>
  <si>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</si>
  <si>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</si>
  <si>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</si>
  <si>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</si>
  <si>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</si>
  <si>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</si>
  <si>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</si>
  <si>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</si>
  <si>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</si>
  <si>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</si>
  <si>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</si>
  <si>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</si>
  <si>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</si>
  <si>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</si>
  <si>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</si>
  <si>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</si>
  <si>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</si>
  <si>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</si>
  <si>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</si>
  <si>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</si>
  <si>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</si>
  <si>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</si>
  <si>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</si>
  <si>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</si>
  <si>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</si>
  <si>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</si>
  <si>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current demand for export will likely not recover until the 2nd half of next year</t>
  </si>
  <si>
    <t>Reinvestment Estimate</t>
  </si>
  <si>
    <t>Net Profit Growth</t>
  </si>
  <si>
    <t>Nominal Rf</t>
  </si>
  <si>
    <t>CN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</si>
  <si>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</si>
  <si>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</si>
  <si>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</si>
  <si>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</si>
  <si>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</si>
  <si>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</si>
  <si>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</si>
  <si>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</si>
  <si>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</si>
  <si>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</si>
  <si>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</si>
  <si>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</si>
  <si>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</si>
  <si>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</si>
  <si>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</si>
  <si>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</si>
  <si>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</si>
  <si>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</si>
  <si>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</si>
  <si>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</si>
  <si>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</si>
  <si>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</si>
  <si>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</si>
  <si>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</si>
  <si>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</si>
  <si>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</si>
  <si>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</si>
  <si>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</si>
  <si>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</si>
  <si>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</si>
  <si>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</si>
  <si>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Market Case</t>
  </si>
  <si>
    <t>High growth expectation, but recent performance is not as good</t>
  </si>
  <si>
    <t>40% is the growth rate adjusted to this year's actual performance</t>
  </si>
  <si>
    <t>The streams are not complicated, but very complex to make any judgement</t>
  </si>
  <si>
    <t xml:space="preserve">It's a cyclical business </t>
  </si>
  <si>
    <t>Not really, but best in mainland China</t>
  </si>
  <si>
    <t>to a large degree, the company is State-owned</t>
  </si>
  <si>
    <t>A very important industry to the country</t>
  </si>
  <si>
    <t>Not in mainland China at least</t>
  </si>
  <si>
    <t xml:space="preserve">Ideal Excess Return after MOS = </t>
  </si>
  <si>
    <t>Ideal price =</t>
  </si>
  <si>
    <t>Next Buy Price =</t>
  </si>
  <si>
    <t>Next Buy Shares =</t>
  </si>
  <si>
    <t>Next Sell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</si>
  <si>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</si>
  <si>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</si>
  <si>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</si>
  <si>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</si>
  <si>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</si>
  <si>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</si>
  <si>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</si>
  <si>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</si>
  <si>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</si>
  <si>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Expected Upside</t>
  </si>
  <si>
    <t>Allocation Analysis</t>
  </si>
  <si>
    <t>80% chance of recession in US, and 50% chance of spilling over</t>
  </si>
  <si>
    <t>2. The probability of correctly forecasting the FCF based on the investment category</t>
  </si>
  <si>
    <t>1. The valuation quality rating (proxy of the "Error Term")</t>
  </si>
  <si>
    <t>60% chance of chinese recession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</si>
  <si>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</si>
  <si>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</si>
  <si>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</si>
  <si>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</si>
  <si>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</si>
  <si>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</si>
  <si>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5. The probability of a recession affecting the company</t>
  </si>
  <si>
    <t>6601.HK</t>
  </si>
  <si>
    <t>CHEERWIN GP</t>
  </si>
  <si>
    <t>CNY</t>
  </si>
  <si>
    <t>家居清潔产品生产商</t>
  </si>
  <si>
    <t xml:space="preserve">Asset Plays </t>
  </si>
  <si>
    <t>1. 可依托母公司立白的支持
2. 通过IPO积累大量现金，Strong Balance Sheet with no debt
3. 家居清潔業務市场地位比较稳定</t>
  </si>
  <si>
    <t>1. 家居清潔業務处于红海市场，容量可能持续萎缩
2. 家居清潔業務高端化难度很大，进口产品竞争力强</t>
  </si>
  <si>
    <t>1. 宠物护理市场广阔，是可持续增长的业务</t>
  </si>
  <si>
    <t>1. 宠物护理市场容量及基数都较小，不足以取代家居清潔業務
2. 宠物护理市场竞争大，现在公司优势很小</t>
  </si>
  <si>
    <t>FY</t>
  </si>
  <si>
    <t>家居護理</t>
  </si>
  <si>
    <t>個人護理</t>
  </si>
  <si>
    <t>寵物產品</t>
  </si>
  <si>
    <t>其他</t>
  </si>
  <si>
    <t>Consumer Discretionary, 12.4y</t>
  </si>
  <si>
    <t>Worst Case Asset Value</t>
  </si>
  <si>
    <t>= Net Non-operating Assets per share</t>
  </si>
  <si>
    <t>4. Is the upside very attractive? (20%+ is attractive)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</si>
</sst>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176" formatCode="&quot;$&quot;#,##0_);[Red]\(&quot;$&quot;#,##0\)"/>
    <numFmt numFmtId="177" formatCode="&quot;$&quot;#,##0.00_);[Red]\(&quot;$&quot;#,##0.00\)"/>
    <numFmt numFmtId="178" formatCode="_(* #,##0.00_);_(* \(#,##0.00\);_(* &quot;-&quot;??_);_(@_)"/>
    <numFmt numFmtId="179" formatCode="yyyy\-mm\-dd"/>
    <numFmt numFmtId="180" formatCode="#,##0&quot;mm&quot;"/>
    <numFmt numFmtId="181" formatCode="#,##0.00&quot;x&quot;"/>
    <numFmt numFmtId="182" formatCode="0.00\x"/>
    <numFmt numFmtId="183" formatCode="&quot;Base Allocation &quot;0%"/>
    <numFmt numFmtId="184" formatCode="&quot;Increased Allocation &quot;0%"/>
    <numFmt numFmtId="185" formatCode="&quot;Last Allocation &quot;0%"/>
    <numFmt numFmtId="186" formatCode="[$$]#,##0&quot;m&quot;"/>
    <numFmt numFmtId="187" formatCode="&quot;Past &quot;0&quot; yrs Avg. NI&quot;"/>
    <numFmt numFmtId="188" formatCode="0.00&quot;x&quot;"/>
    <numFmt numFmtId="189" formatCode="&quot;Past &quot;0&quot; yrs Avg. NOPAT&quot;"/>
    <numFmt numFmtId="190" formatCode="&quot;Total &quot;0%"/>
    <numFmt numFmtId="191" formatCode="#,##0;[Red]\(#,##0\);\-"/>
    <numFmt numFmtId="192" formatCode="&quot;Current Price = &quot;0.00"/>
    <numFmt numFmtId="193" formatCode="yyyy\-mm\-dd;@"/>
    <numFmt numFmtId="194" formatCode="_(* #,##0_);_(* \(#,##0\);_(* &quot;-&quot;??_);_(@_)"/>
    <numFmt numFmtId="195" formatCode="&quot;Discount rate = &quot;0.00%"/>
    <numFmt numFmtId="196" formatCode="#,##0.00;[Red]#,##0.00"/>
    <numFmt numFmtId="197" formatCode="&quot;in&quot;\ 0\ &quot;Months&quot;"/>
    <numFmt numFmtId="198" formatCode="&quot;Breakeven Price = &quot;0.00"/>
    <numFmt numFmtId="199" formatCode="&quot;Next Buy Price = &quot;0.00"/>
    <numFmt numFmtId="200" formatCode="0.0%"/>
    <numFmt numFmtId="201" formatCode="0.000000000000000000%"/>
  </numFmts>
  <fonts count="33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12"/>
      <name val="Times New Roman"/>
      <family val="1"/>
    </font>
    <font>
      <sz val="9"/>
      <name val="Arial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178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1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17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89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81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82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82" fontId="1" fillId="0" borderId="41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82" fontId="1" fillId="0" borderId="44" xfId="0" applyNumberFormat="1" applyFont="1" applyBorder="1" applyAlignment="1">
      <alignment horizontal="center"/>
    </xf>
    <xf numFmtId="192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81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94" fontId="5" fillId="0" borderId="0" xfId="1" applyNumberFormat="1" applyFont="1"/>
    <xf numFmtId="178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82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87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81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96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91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97" fontId="2" fillId="8" borderId="47" xfId="0" applyNumberFormat="1" applyFont="1" applyFill="1" applyBorder="1" applyAlignment="1">
      <alignment horizontal="center"/>
    </xf>
    <xf numFmtId="179" fontId="7" fillId="0" borderId="89" xfId="0" applyNumberFormat="1" applyFont="1" applyBorder="1" applyAlignment="1">
      <alignment horizontal="center"/>
    </xf>
    <xf numFmtId="193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93" fontId="15" fillId="7" borderId="2" xfId="0" applyNumberFormat="1" applyFont="1" applyFill="1" applyBorder="1" applyAlignment="1">
      <alignment horizontal="center"/>
    </xf>
    <xf numFmtId="193" fontId="18" fillId="4" borderId="5" xfId="0" applyNumberFormat="1" applyFont="1" applyFill="1" applyBorder="1" applyAlignment="1">
      <alignment horizontal="center"/>
    </xf>
    <xf numFmtId="193" fontId="18" fillId="4" borderId="23" xfId="0" applyNumberFormat="1" applyFont="1" applyFill="1" applyBorder="1" applyAlignment="1">
      <alignment horizontal="center"/>
    </xf>
    <xf numFmtId="195" fontId="7" fillId="16" borderId="59" xfId="0" applyNumberFormat="1" applyFont="1" applyFill="1" applyBorder="1" applyAlignment="1">
      <alignment horizontal="center"/>
    </xf>
    <xf numFmtId="191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98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93" fontId="15" fillId="7" borderId="94" xfId="0" applyNumberFormat="1" applyFont="1" applyFill="1" applyBorder="1" applyAlignment="1">
      <alignment horizontal="center"/>
    </xf>
    <xf numFmtId="188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88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10" fontId="1" fillId="0" borderId="106" xfId="0" applyNumberFormat="1" applyFont="1" applyBorder="1" applyAlignment="1">
      <alignment horizontal="center"/>
    </xf>
    <xf numFmtId="188" fontId="2" fillId="8" borderId="107" xfId="0" applyNumberFormat="1" applyFont="1" applyFill="1" applyBorder="1" applyAlignment="1">
      <alignment horizontal="center"/>
    </xf>
    <xf numFmtId="4" fontId="5" fillId="0" borderId="72" xfId="0" applyNumberFormat="1" applyFont="1" applyBorder="1" applyAlignment="1">
      <alignment horizontal="center"/>
    </xf>
    <xf numFmtId="193" fontId="18" fillId="0" borderId="9" xfId="0" applyNumberFormat="1" applyFont="1" applyBorder="1" applyAlignment="1">
      <alignment horizontal="center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99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200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2" xfId="0" applyNumberFormat="1" applyFont="1" applyFill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7" fillId="0" borderId="42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201" fontId="18" fillId="0" borderId="0" xfId="0" applyNumberFormat="1" applyFont="1"/>
    <xf numFmtId="0" fontId="2" fillId="0" borderId="58" xfId="0" applyFont="1" applyBorder="1"/>
    <xf numFmtId="10" fontId="2" fillId="8" borderId="42" xfId="0" applyNumberFormat="1" applyFont="1" applyFill="1" applyBorder="1" applyAlignment="1">
      <alignment horizontal="center"/>
    </xf>
    <xf numFmtId="0" fontId="31" fillId="0" borderId="11" xfId="0" applyFont="1" applyBorder="1"/>
    <xf numFmtId="0" fontId="18" fillId="0" borderId="0" xfId="0" applyFont="1" applyAlignment="1">
      <alignment horizontal="center"/>
    </xf>
    <xf numFmtId="0" fontId="27" fillId="0" borderId="0" xfId="0" applyFont="1"/>
    <xf numFmtId="4" fontId="5" fillId="13" borderId="44" xfId="0" applyNumberFormat="1" applyFont="1" applyFill="1" applyBorder="1" applyAlignment="1">
      <alignment horizontal="center"/>
    </xf>
    <xf numFmtId="186" fontId="1" fillId="0" borderId="20" xfId="0" applyNumberFormat="1" applyFont="1" applyBorder="1" applyAlignment="1">
      <alignment horizontal="center"/>
    </xf>
    <xf numFmtId="17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20" xfId="0" applyFont="1" applyBorder="1"/>
    <xf numFmtId="17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177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177" fontId="4" fillId="9" borderId="13" xfId="0" applyNumberFormat="1" applyFont="1" applyFill="1" applyBorder="1" applyAlignment="1">
      <alignment horizontal="center"/>
    </xf>
    <xf numFmtId="177" fontId="4" fillId="9" borderId="21" xfId="0" applyNumberFormat="1" applyFont="1" applyFill="1" applyBorder="1" applyAlignment="1">
      <alignment horizontal="center"/>
    </xf>
    <xf numFmtId="177" fontId="4" fillId="9" borderId="22" xfId="0" applyNumberFormat="1" applyFont="1" applyFill="1" applyBorder="1" applyAlignment="1">
      <alignment horizontal="center"/>
    </xf>
    <xf numFmtId="186" fontId="1" fillId="0" borderId="27" xfId="0" applyNumberFormat="1" applyFont="1" applyBorder="1" applyAlignment="1">
      <alignment horizontal="center"/>
    </xf>
    <xf numFmtId="186" fontId="1" fillId="0" borderId="28" xfId="0" applyNumberFormat="1" applyFont="1" applyBorder="1" applyAlignment="1">
      <alignment horizontal="center"/>
    </xf>
    <xf numFmtId="176" fontId="3" fillId="0" borderId="45" xfId="0" applyNumberFormat="1" applyFont="1" applyBorder="1" applyAlignment="1">
      <alignment horizontal="center"/>
    </xf>
    <xf numFmtId="176" fontId="3" fillId="0" borderId="46" xfId="0" applyNumberFormat="1" applyFont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79" fontId="2" fillId="9" borderId="16" xfId="0" applyNumberFormat="1" applyFont="1" applyFill="1" applyBorder="1" applyAlignment="1">
      <alignment horizontal="center"/>
    </xf>
    <xf numFmtId="193" fontId="2" fillId="9" borderId="17" xfId="0" applyNumberFormat="1" applyFont="1" applyFill="1" applyBorder="1" applyAlignment="1">
      <alignment horizontal="center"/>
    </xf>
    <xf numFmtId="193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180" fontId="5" fillId="0" borderId="47" xfId="0" applyNumberFormat="1" applyFont="1" applyBorder="1" applyAlignment="1">
      <alignment horizontal="center"/>
    </xf>
    <xf numFmtId="180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84" fontId="1" fillId="0" borderId="13" xfId="0" applyNumberFormat="1" applyFont="1" applyBorder="1" applyAlignment="1">
      <alignment horizontal="center"/>
    </xf>
    <xf numFmtId="183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190" fontId="1" fillId="0" borderId="13" xfId="0" applyNumberFormat="1" applyFont="1" applyBorder="1" applyAlignment="1">
      <alignment horizontal="center"/>
    </xf>
    <xf numFmtId="185" fontId="1" fillId="0" borderId="21" xfId="0" applyNumberFormat="1" applyFont="1" applyBorder="1" applyAlignment="1">
      <alignment horizontal="center"/>
    </xf>
    <xf numFmtId="185" fontId="1" fillId="0" borderId="22" xfId="0" applyNumberFormat="1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108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3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常规" xfId="0" builtinId="0"/>
    <cellStyle name="超链接" xfId="2" builtinId="8"/>
    <cellStyle name="千位分隔" xfId="1" builtinId="3"/>
  </cellStyles>
  <dxfs count="19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3" zoomScaleNormal="100" workbookViewId="0">
      <selection activeCell="G29" sqref="G28:H29"/>
    </sheetView>
  </sheetViews>
  <sheetFormatPr defaultColWidth="12.46484375" defaultRowHeight="15" customHeight="1" x14ac:dyDescent="0.4"/>
  <cols>
    <col min="1" max="1" width="2.46484375" style="3" customWidth="1"/>
    <col min="2" max="2" width="28.33203125" style="3" customWidth="1"/>
    <col min="3" max="10" width="14.796875" style="3" customWidth="1"/>
    <col min="11" max="11" width="14.46484375" style="3" bestFit="1" customWidth="1"/>
    <col min="12" max="16384" width="12.46484375" style="3"/>
  </cols>
  <sheetData>
    <row r="1" spans="1:12" ht="15" customHeight="1" x14ac:dyDescent="0.4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4">
      <c r="A2" s="10"/>
      <c r="B2" s="11" t="s">
        <v>0</v>
      </c>
      <c r="C2" s="307" t="str">
        <f>C3&amp;" : "&amp;C4</f>
        <v>6601.HK : CHEERWIN GP</v>
      </c>
      <c r="D2" s="12"/>
      <c r="E2" s="12"/>
      <c r="F2" s="12"/>
      <c r="G2" s="12"/>
      <c r="H2" s="12"/>
      <c r="I2" s="12"/>
      <c r="J2" s="12"/>
    </row>
    <row r="3" spans="1:12" ht="15.75" customHeight="1" x14ac:dyDescent="0.4">
      <c r="B3" s="16" t="s">
        <v>1</v>
      </c>
      <c r="C3" s="396" t="s">
        <v>334</v>
      </c>
      <c r="D3" s="397"/>
      <c r="E3" s="15"/>
      <c r="G3" s="7" t="s">
        <v>2</v>
      </c>
      <c r="I3" s="408" t="s">
        <v>3</v>
      </c>
      <c r="J3" s="409"/>
    </row>
    <row r="4" spans="1:12" ht="15.75" customHeight="1" x14ac:dyDescent="0.4">
      <c r="B4" s="5" t="s">
        <v>4</v>
      </c>
      <c r="C4" s="398" t="s">
        <v>335</v>
      </c>
      <c r="D4" s="399"/>
      <c r="E4" s="6"/>
      <c r="G4" s="5" t="s">
        <v>5</v>
      </c>
      <c r="I4" s="32">
        <v>1.77</v>
      </c>
      <c r="J4" s="33" t="s">
        <v>6</v>
      </c>
      <c r="K4" s="152"/>
    </row>
    <row r="5" spans="1:12" ht="15.75" customHeight="1" x14ac:dyDescent="0.4">
      <c r="B5" s="5" t="s">
        <v>7</v>
      </c>
      <c r="C5" s="400">
        <v>44931</v>
      </c>
      <c r="D5" s="399"/>
      <c r="E5" s="122" t="str">
        <f ca="1">IF(C5+30&gt;=TODAY(),"Patience Premium","")</f>
        <v/>
      </c>
      <c r="G5" s="5" t="s">
        <v>8</v>
      </c>
      <c r="I5" s="392">
        <v>1333330500</v>
      </c>
      <c r="J5" s="393"/>
      <c r="K5" s="151"/>
      <c r="L5" s="85"/>
    </row>
    <row r="6" spans="1:12" ht="15.75" customHeight="1" x14ac:dyDescent="0.4">
      <c r="B6" s="12" t="s">
        <v>248</v>
      </c>
      <c r="C6" s="269">
        <v>8</v>
      </c>
      <c r="D6" s="270">
        <f>EOMONTH(EDATE(Asset_Model!D9,C6),0)</f>
        <v>45169</v>
      </c>
      <c r="E6" s="352">
        <f>IF(Asset_Model!E9="FY",Asset_Model!D9,Data!C3)</f>
        <v>44926</v>
      </c>
      <c r="G6" s="134" t="s">
        <v>9</v>
      </c>
      <c r="H6" s="133"/>
      <c r="I6" s="410">
        <f>I4*I5/1000000</f>
        <v>2359.9949849999998</v>
      </c>
      <c r="J6" s="411"/>
      <c r="K6" s="151"/>
    </row>
    <row r="7" spans="1:12" ht="15.75" customHeight="1" x14ac:dyDescent="0.4">
      <c r="B7" s="139" t="s">
        <v>10</v>
      </c>
      <c r="C7" s="145">
        <f>(Data!C39*Exchange_Rate)/I4</f>
        <v>2.8468760612500799E-2</v>
      </c>
      <c r="D7" s="145">
        <f>(Data!C40*Exchange_Rate)/I4</f>
        <v>0</v>
      </c>
      <c r="E7" s="153"/>
      <c r="F7" s="6"/>
    </row>
    <row r="8" spans="1:12" ht="15.75" customHeight="1" x14ac:dyDescent="0.4">
      <c r="C8" s="96"/>
      <c r="E8" s="6"/>
      <c r="G8" s="21" t="s">
        <v>11</v>
      </c>
      <c r="H8" s="132"/>
      <c r="I8" s="6"/>
      <c r="J8" s="6"/>
    </row>
    <row r="9" spans="1:12" ht="15.75" customHeight="1" x14ac:dyDescent="0.4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22.376837056785025</v>
      </c>
      <c r="J9" s="48">
        <f>IF(I9="NNI","NNI",1/I9)</f>
        <v>4.4689068319277214E-2</v>
      </c>
    </row>
    <row r="10" spans="1:12" ht="15.75" customHeight="1" x14ac:dyDescent="0.4">
      <c r="B10" s="3" t="s">
        <v>265</v>
      </c>
      <c r="C10" s="299" t="s">
        <v>266</v>
      </c>
      <c r="D10" s="299">
        <v>2.8999999999999998E-2</v>
      </c>
      <c r="E10" s="5"/>
      <c r="G10" s="5" t="s">
        <v>14</v>
      </c>
      <c r="I10" s="138">
        <f>I4/(Data!C28*I12*Data!C4/Common_Shares)</f>
        <v>0.75340216596326104</v>
      </c>
      <c r="J10" s="130" t="str">
        <f>IF(Asset_Model!D60/'FCFF Model'!C4&lt;0,"Negative EV",Asset_Model!D60/'FCFF Model'!C4)</f>
        <v>Negative EV</v>
      </c>
    </row>
    <row r="11" spans="1:12" ht="15.75" customHeight="1" thickBot="1" x14ac:dyDescent="0.45">
      <c r="B11" s="312" t="s">
        <v>267</v>
      </c>
      <c r="C11" s="422">
        <f ca="1">C12-D10</f>
        <v>5.1000000000000004E-2</v>
      </c>
      <c r="D11" s="423"/>
      <c r="E11" s="13"/>
      <c r="G11" s="5" t="s">
        <v>15</v>
      </c>
      <c r="H11" s="6"/>
      <c r="I11" s="420" t="s">
        <v>336</v>
      </c>
      <c r="J11" s="421"/>
    </row>
    <row r="12" spans="1:12" ht="15.75" customHeight="1" thickTop="1" x14ac:dyDescent="0.4">
      <c r="B12" s="313" t="s">
        <v>145</v>
      </c>
      <c r="C12" s="424">
        <f ca="1">IF(C10="CN",8%,6%)*IF($C$5+30&gt;=TODAY(),1.2,1)</f>
        <v>0.08</v>
      </c>
      <c r="D12" s="425"/>
      <c r="G12" s="134" t="s">
        <v>16</v>
      </c>
      <c r="H12" s="133"/>
      <c r="I12" s="135">
        <v>1.1452116568883259</v>
      </c>
      <c r="J12" s="136" t="str">
        <f>IF(I11=Dashboard!J4,J4,I11&amp;"/"&amp;Dashboard!J4)</f>
        <v>CNY/HKD</v>
      </c>
    </row>
    <row r="13" spans="1:12" ht="15.75" customHeight="1" x14ac:dyDescent="0.4"/>
    <row r="14" spans="1:12" ht="15.75" customHeight="1" x14ac:dyDescent="0.4">
      <c r="A14" s="10"/>
      <c r="B14" s="20" t="s">
        <v>17</v>
      </c>
      <c r="C14" s="127" t="s">
        <v>212</v>
      </c>
      <c r="D14" s="184">
        <f>MIN('FCFF Model'!C30,'FCFF Model'!E30)</f>
        <v>1.8010410913637067</v>
      </c>
      <c r="E14" s="127" t="s">
        <v>227</v>
      </c>
      <c r="F14" s="184">
        <f>MAX('FCFF Model'!C30,'FCFF Model'!E30)</f>
        <v>2.0424389077766301</v>
      </c>
      <c r="G14" s="185" t="s">
        <v>24</v>
      </c>
      <c r="H14" s="193">
        <f>IF('FCFF Model'!C33&lt;0, "Error", 'FCFF Model'!C33)</f>
        <v>1.9118952382817638</v>
      </c>
      <c r="I14" s="133"/>
      <c r="J14" s="133"/>
    </row>
    <row r="15" spans="1:12" ht="15.75" customHeight="1" x14ac:dyDescent="0.4">
      <c r="A15" s="6"/>
      <c r="B15" s="234" t="str">
        <f>"(in "&amp;J4&amp;")"</f>
        <v>(in HKD)</v>
      </c>
      <c r="C15" s="238" t="s">
        <v>242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4">
      <c r="B16" s="131">
        <f>I4</f>
        <v>1.77</v>
      </c>
      <c r="C16" s="431">
        <v>0.1</v>
      </c>
      <c r="D16" s="159">
        <f>IF(B17='FCFF Model'!G29,"Net Asset", H14/B16-1-C16)</f>
        <v>-1.9833198710867889E-2</v>
      </c>
      <c r="E16" s="428">
        <f>'FCFF Model'!D11*Exchange_Rate</f>
        <v>0.25194656451543168</v>
      </c>
      <c r="F16" s="161">
        <f>E16/B16</f>
        <v>0.14234269181662806</v>
      </c>
      <c r="G16" s="415" t="s">
        <v>25</v>
      </c>
      <c r="H16" s="412">
        <f>('FCFF Model'!G19)*Exchange_Rate</f>
        <v>2.0424389077766301</v>
      </c>
      <c r="I16" s="415" t="s">
        <v>26</v>
      </c>
      <c r="J16" s="206">
        <f>B16-$H$16</f>
        <v>-0.27243890777663005</v>
      </c>
    </row>
    <row r="17" spans="1:10" ht="15.75" customHeight="1" x14ac:dyDescent="0.4">
      <c r="B17" s="289">
        <f>MAX(H14/(1+C16),'FCFF Model'!G29)</f>
        <v>1.7380865802561487</v>
      </c>
      <c r="C17" s="432"/>
      <c r="D17" s="288">
        <f>IF(B17='FCFF Model'!G29,"Net Asset",H14/B17-1-C16)</f>
        <v>8.3266726846886741E-17</v>
      </c>
      <c r="E17" s="429"/>
      <c r="F17" s="162">
        <f>E16/B17</f>
        <v>0.14495627972589337</v>
      </c>
      <c r="G17" s="416"/>
      <c r="H17" s="413"/>
      <c r="I17" s="416"/>
      <c r="J17" s="205">
        <f>B17-$H$16</f>
        <v>-0.30435232752048136</v>
      </c>
    </row>
    <row r="18" spans="1:10" ht="15.75" customHeight="1" x14ac:dyDescent="0.4">
      <c r="B18" s="355">
        <f>C35</f>
        <v>1.62</v>
      </c>
      <c r="C18" s="433"/>
      <c r="D18" s="160">
        <f>IF(B17='FCFF Model'!G29,"NA: "&amp;ROUND('FCFF Model'!G29/B18-1,2)*100&amp;"%", H14/B18-1-C16)</f>
        <v>8.0182245852940509E-2</v>
      </c>
      <c r="E18" s="430"/>
      <c r="F18" s="163">
        <f>E16/B18</f>
        <v>0.15552257068853806</v>
      </c>
      <c r="G18" s="417"/>
      <c r="H18" s="414"/>
      <c r="I18" s="417"/>
      <c r="J18" s="207">
        <f>B18-$H$16</f>
        <v>-0.42243890777662996</v>
      </c>
    </row>
    <row r="19" spans="1:10" ht="15.75" customHeight="1" x14ac:dyDescent="0.4">
      <c r="E19" s="6"/>
      <c r="H19" s="6"/>
    </row>
    <row r="20" spans="1:10" ht="15.75" customHeight="1" x14ac:dyDescent="0.4">
      <c r="A20" s="4"/>
      <c r="B20" s="20" t="s">
        <v>27</v>
      </c>
      <c r="C20" s="5" t="s">
        <v>246</v>
      </c>
      <c r="D20" s="290" t="s">
        <v>338</v>
      </c>
      <c r="E20" s="266" t="s">
        <v>256</v>
      </c>
      <c r="G20" s="6"/>
      <c r="H20" s="6"/>
      <c r="I20" s="357"/>
    </row>
    <row r="21" spans="1:10" ht="15.75" customHeight="1" x14ac:dyDescent="0.4">
      <c r="A21" s="6"/>
      <c r="B21" s="24" t="s">
        <v>28</v>
      </c>
      <c r="C21" s="403" t="s">
        <v>337</v>
      </c>
      <c r="D21" s="404"/>
      <c r="E21" s="404"/>
      <c r="F21" s="404"/>
      <c r="G21" s="404"/>
      <c r="H21" s="404"/>
      <c r="I21" s="404"/>
      <c r="J21" s="405"/>
    </row>
    <row r="22" spans="1:10" ht="52.5" customHeight="1" x14ac:dyDescent="0.4">
      <c r="A22" s="6"/>
      <c r="B22" s="24" t="s">
        <v>29</v>
      </c>
      <c r="C22" s="419" t="s">
        <v>339</v>
      </c>
      <c r="D22" s="384"/>
      <c r="E22" s="384"/>
      <c r="F22" s="384"/>
      <c r="G22" s="419" t="s">
        <v>340</v>
      </c>
      <c r="H22" s="419"/>
      <c r="I22" s="384"/>
      <c r="J22" s="384"/>
    </row>
    <row r="23" spans="1:10" ht="52.5" customHeight="1" x14ac:dyDescent="0.4">
      <c r="A23" s="6"/>
      <c r="B23" s="25" t="s">
        <v>30</v>
      </c>
      <c r="C23" s="406" t="s">
        <v>341</v>
      </c>
      <c r="D23" s="407"/>
      <c r="E23" s="407"/>
      <c r="F23" s="407"/>
      <c r="G23" s="406" t="s">
        <v>342</v>
      </c>
      <c r="H23" s="406"/>
      <c r="I23" s="407"/>
      <c r="J23" s="407"/>
    </row>
    <row r="24" spans="1:10" ht="15.75" customHeight="1" x14ac:dyDescent="0.4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4">
      <c r="A25" s="4"/>
      <c r="B25" s="20" t="s">
        <v>31</v>
      </c>
      <c r="C25" s="22" t="s">
        <v>32</v>
      </c>
      <c r="D25" s="34">
        <v>600000</v>
      </c>
      <c r="E25" s="12"/>
      <c r="F25" s="8" t="s">
        <v>307</v>
      </c>
      <c r="G25" s="12"/>
      <c r="H25" s="353">
        <v>0.15</v>
      </c>
      <c r="I25" s="30" t="s">
        <v>308</v>
      </c>
      <c r="J25" s="354">
        <f>IF(D17="Asset Play", 'FCFF Model'!G19, H14/(H25+C16+1))</f>
        <v>1.5295161906254111</v>
      </c>
    </row>
    <row r="26" spans="1:10" ht="15.75" customHeight="1" x14ac:dyDescent="0.4">
      <c r="B26" s="23" t="s">
        <v>33</v>
      </c>
      <c r="C26" s="401">
        <v>44932</v>
      </c>
      <c r="D26" s="402"/>
      <c r="E26" s="437" t="str">
        <f>IF(C26="","","Action_Planning")</f>
        <v>Action_Planning</v>
      </c>
      <c r="F26" s="438"/>
      <c r="G26" s="438"/>
      <c r="H26" s="439"/>
      <c r="I26" s="418" t="s">
        <v>34</v>
      </c>
      <c r="J26" s="418"/>
    </row>
    <row r="27" spans="1:10" ht="15.75" customHeight="1" x14ac:dyDescent="0.4">
      <c r="B27" s="23" t="s">
        <v>35</v>
      </c>
      <c r="C27" s="427">
        <f>C31/D25</f>
        <v>0.11666666666666667</v>
      </c>
      <c r="D27" s="382"/>
      <c r="E27" s="426">
        <f>E31/D25</f>
        <v>8.1000000000000003E-2</v>
      </c>
      <c r="F27" s="382"/>
      <c r="G27" s="435">
        <f>G31/D25</f>
        <v>0</v>
      </c>
      <c r="H27" s="436"/>
      <c r="I27" s="434">
        <f>C27+E27+G27</f>
        <v>0.19766666666666666</v>
      </c>
      <c r="J27" s="434"/>
    </row>
    <row r="28" spans="1:10" ht="15.75" customHeight="1" x14ac:dyDescent="0.4">
      <c r="B28" s="23" t="s">
        <v>36</v>
      </c>
      <c r="C28" s="383">
        <v>40000</v>
      </c>
      <c r="D28" s="384"/>
      <c r="E28" s="383">
        <v>30000</v>
      </c>
      <c r="F28" s="384"/>
      <c r="G28" s="392"/>
      <c r="H28" s="393"/>
      <c r="I28" s="372">
        <f>C28+E28+G28</f>
        <v>70000</v>
      </c>
      <c r="J28" s="372"/>
    </row>
    <row r="29" spans="1:10" ht="15.75" customHeight="1" x14ac:dyDescent="0.4">
      <c r="B29" s="23" t="s">
        <v>37</v>
      </c>
      <c r="C29" s="385">
        <v>1.75</v>
      </c>
      <c r="D29" s="384"/>
      <c r="E29" s="385">
        <v>1.62</v>
      </c>
      <c r="F29" s="384"/>
      <c r="G29" s="386"/>
      <c r="H29" s="387"/>
      <c r="I29" s="394"/>
      <c r="J29" s="394"/>
    </row>
    <row r="30" spans="1:10" ht="15.75" customHeight="1" x14ac:dyDescent="0.4">
      <c r="B30" s="23" t="s">
        <v>38</v>
      </c>
      <c r="C30" s="370">
        <f>C29*$I$5/1000000</f>
        <v>2333.3283750000001</v>
      </c>
      <c r="D30" s="377"/>
      <c r="E30" s="370">
        <f>E29*$I$5/1000000</f>
        <v>2159.99541</v>
      </c>
      <c r="F30" s="377"/>
      <c r="G30" s="388">
        <f>G29*$I$5/1000000</f>
        <v>0</v>
      </c>
      <c r="H30" s="389"/>
      <c r="I30" s="395"/>
      <c r="J30" s="395"/>
    </row>
    <row r="31" spans="1:10" ht="15.75" customHeight="1" x14ac:dyDescent="0.4">
      <c r="B31" s="2" t="s">
        <v>39</v>
      </c>
      <c r="C31" s="378">
        <f>C28*C29</f>
        <v>70000</v>
      </c>
      <c r="D31" s="379"/>
      <c r="E31" s="371">
        <f>E28*E29</f>
        <v>48600</v>
      </c>
      <c r="F31" s="380"/>
      <c r="G31" s="390">
        <f>G28*G29</f>
        <v>0</v>
      </c>
      <c r="H31" s="391"/>
      <c r="I31" s="371">
        <f>C31+E31+G31</f>
        <v>118600</v>
      </c>
      <c r="J31" s="371"/>
    </row>
    <row r="32" spans="1:10" ht="15.75" customHeight="1" x14ac:dyDescent="0.4">
      <c r="B32" s="1" t="s">
        <v>40</v>
      </c>
      <c r="C32" s="373"/>
      <c r="D32" s="374"/>
      <c r="E32" s="381">
        <f>IF(C31=0,"-",(C31+E31)/(C28+E28))</f>
        <v>1.6942857142857144</v>
      </c>
      <c r="F32" s="382"/>
      <c r="G32" s="117"/>
      <c r="H32" s="117"/>
      <c r="I32" s="381">
        <f>IF(I31=0,"",I31/I28)</f>
        <v>1.6942857142857144</v>
      </c>
      <c r="J32" s="381"/>
    </row>
    <row r="33" spans="2:11" ht="15.75" customHeight="1" x14ac:dyDescent="0.4">
      <c r="B33" s="1" t="s">
        <v>41</v>
      </c>
      <c r="C33" s="375"/>
      <c r="D33" s="376"/>
      <c r="E33" s="370">
        <f>IF(E32="-","-",E32*$I$5/1000000)</f>
        <v>2259.0428185714286</v>
      </c>
      <c r="F33" s="377"/>
      <c r="G33" s="118"/>
      <c r="H33" s="118"/>
      <c r="I33" s="370">
        <f>IF(I32="","",I32*$I$5/1000000)</f>
        <v>2259.0428185714286</v>
      </c>
      <c r="J33" s="370"/>
    </row>
    <row r="34" spans="2:11" ht="15.75" customHeight="1" x14ac:dyDescent="0.4"/>
    <row r="35" spans="2:11" ht="15.75" customHeight="1" x14ac:dyDescent="0.4">
      <c r="B35" s="146" t="s">
        <v>309</v>
      </c>
      <c r="C35" s="440">
        <f>E29</f>
        <v>1.62</v>
      </c>
      <c r="D35" s="441"/>
      <c r="G35" s="443" t="s">
        <v>311</v>
      </c>
      <c r="H35" s="444"/>
      <c r="I35" s="440">
        <f>F14</f>
        <v>2.0424389077766301</v>
      </c>
      <c r="J35" s="441"/>
    </row>
    <row r="36" spans="2:11" ht="15.75" customHeight="1" x14ac:dyDescent="0.4">
      <c r="B36" s="146" t="s">
        <v>310</v>
      </c>
      <c r="C36" s="383">
        <f>E28</f>
        <v>30000</v>
      </c>
      <c r="D36" s="442"/>
      <c r="G36" s="445" t="s">
        <v>321</v>
      </c>
      <c r="H36" s="445"/>
      <c r="I36" s="446">
        <f>IF(C26="",0,I35/C29-1)</f>
        <v>0.16710794730093137</v>
      </c>
      <c r="J36" s="447"/>
    </row>
    <row r="37" spans="2:11" ht="15.75" customHeight="1" x14ac:dyDescent="0.4"/>
    <row r="38" spans="2:11" ht="15.75" customHeight="1" x14ac:dyDescent="0.4">
      <c r="B38" s="21" t="s">
        <v>322</v>
      </c>
      <c r="G38" s="346" t="s">
        <v>136</v>
      </c>
      <c r="H38" s="133"/>
      <c r="I38" s="133"/>
      <c r="J38" s="133"/>
      <c r="K38" s="356"/>
    </row>
    <row r="39" spans="2:11" ht="15.75" customHeight="1" x14ac:dyDescent="0.4">
      <c r="B39" s="3" t="s">
        <v>325</v>
      </c>
      <c r="F39" s="214">
        <f>'Qualitative Analysis'!E8</f>
        <v>0.48000000000000009</v>
      </c>
      <c r="G39" s="364"/>
      <c r="H39" s="116"/>
      <c r="I39" s="116"/>
      <c r="J39" s="116"/>
    </row>
    <row r="40" spans="2:11" ht="15.75" customHeight="1" x14ac:dyDescent="0.4">
      <c r="B40" s="3" t="s">
        <v>324</v>
      </c>
      <c r="F40" s="214">
        <f>80%-(5%*IF(LEFT(D20,2)="St",1,IF(LEFT(D20,2)="Sl",2,IF(LEFT(D20,2)="Cy",3,IF(LEFT(D20,2)="Fa",4,IF(LEFT(D20,2)="Tu",5,0))))))</f>
        <v>0.8</v>
      </c>
      <c r="G40" s="74"/>
      <c r="H40" s="74"/>
      <c r="I40" s="74"/>
      <c r="J40" s="74"/>
    </row>
    <row r="41" spans="2:11" ht="15.75" customHeight="1" x14ac:dyDescent="0.4">
      <c r="B41" s="3" t="s">
        <v>331</v>
      </c>
      <c r="E41" s="358"/>
      <c r="F41" s="361">
        <f>'Qualitative Analysis'!E64</f>
        <v>0.45921768707482991</v>
      </c>
      <c r="G41" s="364" t="s">
        <v>323</v>
      </c>
      <c r="H41" s="116"/>
      <c r="I41" s="116"/>
      <c r="J41" s="116"/>
    </row>
    <row r="42" spans="2:11" ht="15.75" customHeight="1" x14ac:dyDescent="0.4">
      <c r="B42" s="3" t="s">
        <v>351</v>
      </c>
      <c r="E42" s="358">
        <f>IF(F42="Strongly disagree",0,IF(F42="disagree",1,IF(F42="So-so",2,IF(F42="agree",3,4))))/4</f>
        <v>0.5</v>
      </c>
      <c r="F42" s="102" t="str">
        <f>IF(F45&lt;D10,"Strongly Disagree",IF(F45&lt;10%,"Disagree",IF(F45&gt;=30%,"Strongly Agree",IF(F45&gt;=20%,"Agree","So-so"))))</f>
        <v>So-so</v>
      </c>
      <c r="G42" s="74" t="s">
        <v>326</v>
      </c>
      <c r="H42" s="74"/>
      <c r="I42" s="74"/>
      <c r="J42" s="74"/>
    </row>
    <row r="43" spans="2:11" ht="15.75" customHeight="1" x14ac:dyDescent="0.4">
      <c r="B43" s="3" t="s">
        <v>333</v>
      </c>
      <c r="F43" s="365">
        <f>AVERAGE(80%*0.5,0.6)</f>
        <v>0.5</v>
      </c>
      <c r="G43" s="116"/>
      <c r="H43" s="116"/>
      <c r="I43" s="116"/>
      <c r="J43" s="116"/>
    </row>
    <row r="44" spans="2:11" ht="15.75" customHeight="1" x14ac:dyDescent="0.4"/>
    <row r="45" spans="2:11" ht="15.75" customHeight="1" x14ac:dyDescent="0.4">
      <c r="B45" s="3" t="s">
        <v>327</v>
      </c>
      <c r="F45" s="365">
        <f>I35/C29-1</f>
        <v>0.16710794730093137</v>
      </c>
    </row>
    <row r="46" spans="2:11" ht="15.75" customHeight="1" x14ac:dyDescent="0.4">
      <c r="B46" s="3" t="s">
        <v>328</v>
      </c>
      <c r="F46" s="365">
        <f>D14/C29-1</f>
        <v>2.9166337922118091E-2</v>
      </c>
    </row>
    <row r="47" spans="2:11" ht="15.75" customHeight="1" x14ac:dyDescent="0.4"/>
    <row r="48" spans="2:11" ht="15.75" customHeight="1" x14ac:dyDescent="0.4">
      <c r="B48" s="3" t="s">
        <v>330</v>
      </c>
      <c r="F48" s="214">
        <f>IF(F45&lt;=0,0,AVERAGE(F39:F41,1-F43,E42))</f>
        <v>0.54784353741496594</v>
      </c>
      <c r="G48" s="74"/>
    </row>
    <row r="49" spans="2:8" ht="15.75" customHeight="1" x14ac:dyDescent="0.4">
      <c r="B49" s="3" t="s">
        <v>329</v>
      </c>
      <c r="D49" s="367">
        <f>IF(F42="Strongly Agree",2,IF(F42="Agree",3,4))</f>
        <v>4</v>
      </c>
      <c r="E49" s="363">
        <f>F45/ABS(F46)</f>
        <v>5.7294799143846653</v>
      </c>
      <c r="F49" s="360">
        <f>IF(F46&gt;=0,100,F45/ABS(F46))</f>
        <v>100</v>
      </c>
      <c r="G49" s="74"/>
    </row>
    <row r="50" spans="2:8" ht="15.75" customHeight="1" x14ac:dyDescent="0.4">
      <c r="B50" s="368" t="str">
        <f>IF(D49=2,"⇒ 1/2 Kelly %",IF(D49=3, "⇒ 1/3 Kelly %", "⇒ 1/4 Kelly %"))</f>
        <v>⇒ 1/4 Kelly %</v>
      </c>
      <c r="C50" s="85" t="str">
        <f>" [W – (1 – W)/R] /"&amp;D49</f>
        <v xml:space="preserve"> [W – (1 – W)/R] /4</v>
      </c>
      <c r="E50" s="107">
        <f>MAX(F48-ABS((1-F48)/F49),0)/D49</f>
        <v>0.13583049319727891</v>
      </c>
      <c r="F50" s="359">
        <f>MIN(E50,H50)</f>
        <v>0.13583049319727891</v>
      </c>
      <c r="G50" s="362" t="s">
        <v>332</v>
      </c>
      <c r="H50" s="78">
        <v>0.4</v>
      </c>
    </row>
    <row r="51" spans="2:8" ht="15.75" customHeight="1" x14ac:dyDescent="0.4"/>
    <row r="52" spans="2:8" ht="15.75" customHeight="1" x14ac:dyDescent="0.4"/>
    <row r="53" spans="2:8" ht="15.75" customHeight="1" x14ac:dyDescent="0.4"/>
    <row r="54" spans="2:8" ht="15.75" customHeight="1" x14ac:dyDescent="0.4"/>
    <row r="55" spans="2:8" ht="15.75" customHeight="1" x14ac:dyDescent="0.4"/>
    <row r="56" spans="2:8" ht="15.75" customHeight="1" x14ac:dyDescent="0.4"/>
    <row r="57" spans="2:8" ht="15.75" customHeight="1" x14ac:dyDescent="0.4"/>
    <row r="58" spans="2:8" ht="15.75" customHeight="1" x14ac:dyDescent="0.4"/>
    <row r="59" spans="2:8" ht="15.75" customHeight="1" x14ac:dyDescent="0.4"/>
    <row r="60" spans="2:8" ht="15.75" customHeight="1" x14ac:dyDescent="0.4"/>
    <row r="61" spans="2:8" ht="15.75" customHeight="1" x14ac:dyDescent="0.4"/>
    <row r="62" spans="2:8" ht="15.75" customHeight="1" x14ac:dyDescent="0.4"/>
    <row r="63" spans="2:8" ht="15.75" customHeight="1" x14ac:dyDescent="0.4"/>
    <row r="64" spans="2:8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</sheetData>
  <mergeCells count="54">
    <mergeCell ref="C35:D35"/>
    <mergeCell ref="C36:D36"/>
    <mergeCell ref="I35:J35"/>
    <mergeCell ref="G35:H35"/>
    <mergeCell ref="G36:H36"/>
    <mergeCell ref="I36:J36"/>
    <mergeCell ref="C12:D12"/>
    <mergeCell ref="E27:F27"/>
    <mergeCell ref="C27:D27"/>
    <mergeCell ref="E16:E18"/>
    <mergeCell ref="G23:J23"/>
    <mergeCell ref="C16:C18"/>
    <mergeCell ref="G16:G18"/>
    <mergeCell ref="I27:J27"/>
    <mergeCell ref="G27:H27"/>
    <mergeCell ref="E26:H26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G29:H29"/>
    <mergeCell ref="G30:H30"/>
    <mergeCell ref="G31:H31"/>
    <mergeCell ref="G28:H28"/>
    <mergeCell ref="I29:J29"/>
    <mergeCell ref="I30:J30"/>
    <mergeCell ref="I33:J33"/>
    <mergeCell ref="I31:J31"/>
    <mergeCell ref="I28:J28"/>
    <mergeCell ref="C32:D32"/>
    <mergeCell ref="C33:D33"/>
    <mergeCell ref="E33:F33"/>
    <mergeCell ref="C31:D31"/>
    <mergeCell ref="E31:F31"/>
    <mergeCell ref="E32:F32"/>
    <mergeCell ref="C30:D30"/>
    <mergeCell ref="C28:D28"/>
    <mergeCell ref="E29:F29"/>
    <mergeCell ref="E30:F30"/>
    <mergeCell ref="E28:F28"/>
    <mergeCell ref="I32:J32"/>
    <mergeCell ref="C29:D29"/>
  </mergeCells>
  <phoneticPr fontId="32" type="noConversion"/>
  <conditionalFormatting sqref="B16">
    <cfRule type="cellIs" dxfId="18" priority="6" operator="lessThan">
      <formula>$B$18</formula>
    </cfRule>
  </conditionalFormatting>
  <conditionalFormatting sqref="C35:D36">
    <cfRule type="containsBlanks" priority="10">
      <formula>LEN(TRIM(C35))=0</formula>
    </cfRule>
  </conditionalFormatting>
  <conditionalFormatting sqref="C26:E26 C28:G29 I26 I28:I29">
    <cfRule type="containsBlanks" priority="23">
      <formula>LEN(TRIM(C26))=0</formula>
    </cfRule>
  </conditionalFormatting>
  <conditionalFormatting sqref="D16 D18">
    <cfRule type="cellIs" dxfId="17" priority="19" operator="lessThan">
      <formula>0</formula>
    </cfRule>
  </conditionalFormatting>
  <conditionalFormatting sqref="E26:H26">
    <cfRule type="containsBlanks" dxfId="16" priority="7">
      <formula>LEN(TRIM(E26))=0</formula>
    </cfRule>
  </conditionalFormatting>
  <conditionalFormatting sqref="H14">
    <cfRule type="cellIs" dxfId="14" priority="11" operator="greaterThan">
      <formula>$B$16</formula>
    </cfRule>
  </conditionalFormatting>
  <conditionalFormatting sqref="H16">
    <cfRule type="cellIs" dxfId="13" priority="14" operator="greaterThan">
      <formula>$B$16</formula>
    </cfRule>
  </conditionalFormatting>
  <conditionalFormatting sqref="I16">
    <cfRule type="cellIs" dxfId="12" priority="29" operator="lessThan">
      <formula>0</formula>
    </cfRule>
  </conditionalFormatting>
  <conditionalFormatting sqref="I35:J36">
    <cfRule type="containsBlanks" priority="4">
      <formula>LEN(TRIM(I35))=0</formula>
    </cfRule>
  </conditionalFormatting>
  <conditionalFormatting sqref="K38">
    <cfRule type="containsBlanks" priority="8">
      <formula>LEN(TRIM(K38))=0</formula>
    </cfRule>
  </conditionalFormatting>
  <conditionalFormatting sqref="F49">
    <cfRule type="cellIs" dxfId="0" priority="1" operator="lessThan">
      <formula>1</formula>
    </cfRule>
  </conditionalFormatting>
  <dataValidations disablePrompts="1" count="6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93A0A854-6906-47E5-9CB9-89F531648935}">
      <formula1>"Strongly Agree,Agree,So-so,Disagree,Strongly Disagree"</formula1>
    </dataValidation>
    <dataValidation type="list" allowBlank="1" showInputMessage="1" showErrorMessage="1" sqref="B50" xr:uid="{D9D11BE6-6FE7-4A85-BBA8-E0CC78C2F38B}">
      <formula1>"⇒ 1/2 Kelly %, ⇒ 1/3 Kelly %, ⇒ 1/4 Kelly %"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topLeftCell="A7" zoomScaleNormal="100" workbookViewId="0">
      <selection activeCell="C35" sqref="C35:D35"/>
    </sheetView>
  </sheetViews>
  <sheetFormatPr defaultColWidth="12.46484375" defaultRowHeight="15" customHeight="1" x14ac:dyDescent="0.4"/>
  <cols>
    <col min="1" max="1" width="1.46484375" style="3" customWidth="1"/>
    <col min="2" max="2" width="26.46484375" style="3" customWidth="1"/>
    <col min="3" max="13" width="24.59765625" style="3" customWidth="1"/>
    <col min="14" max="16384" width="12.46484375" style="3"/>
  </cols>
  <sheetData>
    <row r="1" spans="1:14" ht="8.25" customHeight="1" x14ac:dyDescent="0.4">
      <c r="A1" s="36"/>
      <c r="B1" s="37"/>
      <c r="C1" s="38"/>
      <c r="D1" s="38"/>
      <c r="E1" s="38"/>
      <c r="F1" s="38"/>
    </row>
    <row r="2" spans="1:14" ht="15.75" customHeight="1" x14ac:dyDescent="0.4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4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92093</v>
      </c>
      <c r="G3" s="6"/>
      <c r="H3" s="5"/>
      <c r="I3" s="6"/>
      <c r="J3" s="174"/>
      <c r="K3" s="6"/>
      <c r="L3" s="6"/>
      <c r="M3" s="6"/>
    </row>
    <row r="4" spans="1:14" ht="15.75" customHeight="1" x14ac:dyDescent="0.4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72006</v>
      </c>
      <c r="G4" s="6"/>
      <c r="I4" s="6"/>
      <c r="J4" s="87"/>
      <c r="K4" s="6"/>
    </row>
    <row r="5" spans="1:14" ht="15.75" customHeight="1" x14ac:dyDescent="0.4">
      <c r="A5" s="9"/>
      <c r="C5" s="6"/>
      <c r="F5" s="6"/>
      <c r="J5" s="6"/>
    </row>
    <row r="6" spans="1:14" ht="15.75" customHeight="1" x14ac:dyDescent="0.4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4">
      <c r="A7" s="9"/>
      <c r="B7" s="43" t="s">
        <v>45</v>
      </c>
      <c r="C7" s="35">
        <v>1769157</v>
      </c>
      <c r="D7" s="35">
        <v>1702154</v>
      </c>
      <c r="E7" s="35">
        <v>1383402</v>
      </c>
      <c r="F7" s="35"/>
      <c r="G7" s="35"/>
      <c r="H7" s="35"/>
      <c r="I7" s="35"/>
      <c r="J7" s="35"/>
      <c r="K7" s="35"/>
      <c r="L7" s="35"/>
      <c r="M7" s="241"/>
      <c r="N7" s="6"/>
    </row>
    <row r="8" spans="1:14" ht="15.75" customHeight="1" x14ac:dyDescent="0.4">
      <c r="A8" s="9"/>
      <c r="B8" s="44" t="s">
        <v>46</v>
      </c>
      <c r="C8" s="14">
        <f t="shared" ref="C8:L8" si="1">IF(D7="","",C7/D7-1)</f>
        <v>3.9363653347464389E-2</v>
      </c>
      <c r="D8" s="14">
        <f t="shared" si="1"/>
        <v>0.2304116952266948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4">
      <c r="A9" s="9"/>
      <c r="B9" s="44" t="s">
        <v>47</v>
      </c>
      <c r="C9" s="35">
        <v>981731</v>
      </c>
      <c r="D9" s="35">
        <v>959572</v>
      </c>
      <c r="E9" s="35">
        <v>783542</v>
      </c>
      <c r="F9" s="35"/>
      <c r="G9" s="35"/>
      <c r="H9" s="35"/>
      <c r="I9" s="35"/>
      <c r="J9" s="35"/>
      <c r="K9" s="35"/>
      <c r="L9" s="35"/>
      <c r="M9" s="241"/>
      <c r="N9" s="6"/>
    </row>
    <row r="10" spans="1:14" ht="15.75" customHeight="1" x14ac:dyDescent="0.4">
      <c r="A10" s="9"/>
      <c r="B10" s="44" t="s">
        <v>48</v>
      </c>
      <c r="C10" s="14">
        <f t="shared" ref="C10:M10" si="2">IF(C7="","",(C7-C9)/C7)</f>
        <v>0.44508542769239812</v>
      </c>
      <c r="D10" s="14">
        <f t="shared" si="2"/>
        <v>0.43626017387380928</v>
      </c>
      <c r="E10" s="14">
        <f t="shared" si="2"/>
        <v>0.43361221105651143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4">
      <c r="A11" s="9"/>
      <c r="B11" s="44" t="s">
        <v>49</v>
      </c>
      <c r="C11" s="35">
        <v>715420</v>
      </c>
      <c r="D11" s="35">
        <v>466870</v>
      </c>
      <c r="E11" s="35">
        <v>375859</v>
      </c>
      <c r="F11" s="35"/>
      <c r="G11" s="35"/>
      <c r="H11" s="35"/>
      <c r="I11" s="35"/>
      <c r="J11" s="35"/>
      <c r="K11" s="35"/>
      <c r="L11" s="35"/>
      <c r="M11" s="241"/>
      <c r="N11" s="6"/>
    </row>
    <row r="12" spans="1:14" ht="15.75" customHeight="1" x14ac:dyDescent="0.4">
      <c r="A12" s="9"/>
      <c r="B12" s="44" t="s">
        <v>50</v>
      </c>
      <c r="C12" s="14">
        <f t="shared" ref="C12:M12" si="3">IF(C7="","",C10-C13)</f>
        <v>0.40438468717021719</v>
      </c>
      <c r="D12" s="14">
        <f t="shared" si="3"/>
        <v>0.27428188048789942</v>
      </c>
      <c r="E12" s="14">
        <f t="shared" si="3"/>
        <v>0.27169181481593929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4">
      <c r="A13" s="9"/>
      <c r="B13" s="44" t="s">
        <v>51</v>
      </c>
      <c r="C13" s="14">
        <f t="shared" ref="C13:M13" si="4">IF(C14="","",C14/C7)</f>
        <v>4.0700740522180902E-2</v>
      </c>
      <c r="D13" s="14">
        <f t="shared" si="4"/>
        <v>0.16197829338590986</v>
      </c>
      <c r="E13" s="14">
        <f t="shared" si="4"/>
        <v>0.16192039624057217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4">
      <c r="A14" s="9"/>
      <c r="B14" s="44" t="s">
        <v>52</v>
      </c>
      <c r="C14" s="27">
        <f t="shared" ref="C14:M14" si="5">IF(C7="","",C7-C9-C11)</f>
        <v>72006</v>
      </c>
      <c r="D14" s="27">
        <f t="shared" si="5"/>
        <v>275712</v>
      </c>
      <c r="E14" s="27">
        <f t="shared" si="5"/>
        <v>224001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2" t="str">
        <f t="shared" si="5"/>
        <v/>
      </c>
      <c r="N14" s="6"/>
    </row>
    <row r="15" spans="1:14" ht="15.75" customHeight="1" x14ac:dyDescent="0.4">
      <c r="A15" s="9"/>
      <c r="B15" s="44" t="s">
        <v>53</v>
      </c>
      <c r="C15" s="14">
        <f>IF(D14="","",IF(ABS(C14+D14)=ABS(C14)+ABS(D14),IF(C14&lt;0,-1,1)*(C14-D14)/D14,"Turn"))</f>
        <v>-0.73883617688022285</v>
      </c>
      <c r="D15" s="14">
        <f t="shared" ref="D15:M15" si="6">IF(E14="","",IF(ABS(D14+E14)=ABS(D14)+ABS(E14),IF(D14&lt;0,-1,1)*(D14-E14)/E14,"Turn"))</f>
        <v>0.23085164798371435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4">
      <c r="A16" s="9"/>
      <c r="B16" s="44" t="s">
        <v>54</v>
      </c>
      <c r="C16" s="143">
        <f>IF(C14="","",C14*(1-Operation!$D$18))</f>
        <v>72006</v>
      </c>
      <c r="D16" s="143">
        <f>IF(D14="","",D14*(1-Operation!$D$18))</f>
        <v>275712</v>
      </c>
      <c r="E16" s="143">
        <f>IF(E14="","",E14*(1-Operation!$D$18))</f>
        <v>224001</v>
      </c>
      <c r="F16" s="143" t="str">
        <f>IF(F14="","",F14*(1-Operation!$D$18))</f>
        <v/>
      </c>
      <c r="G16" s="143" t="str">
        <f>IF(G14="","",G14*(1-Operation!$D$18))</f>
        <v/>
      </c>
      <c r="H16" s="143" t="str">
        <f>IF(H14="","",H14*(1-Operation!$D$18))</f>
        <v/>
      </c>
      <c r="I16" s="143" t="str">
        <f>IF(I14="","",I14*(1-Operation!$D$18))</f>
        <v/>
      </c>
      <c r="J16" s="143" t="str">
        <f>IF(J14="","",J14*(1-Operation!$D$18))</f>
        <v/>
      </c>
      <c r="K16" s="143" t="str">
        <f>IF(K14="","",K14*(1-Operation!$D$18))</f>
        <v/>
      </c>
      <c r="L16" s="143" t="str">
        <f>IF(L14="","",L14*(1-Operation!$D$18))</f>
        <v/>
      </c>
      <c r="M16" s="243" t="str">
        <f>IF(M14="","",M14*(1-Operation!$D$18))</f>
        <v/>
      </c>
      <c r="N16" s="6"/>
    </row>
    <row r="17" spans="1:14" ht="15.75" customHeight="1" x14ac:dyDescent="0.4">
      <c r="A17" s="9"/>
      <c r="B17" s="142" t="s">
        <v>55</v>
      </c>
      <c r="C17" s="129">
        <f t="shared" ref="C17:M17" si="7">IF(C7="","",C16/C7)</f>
        <v>4.0700740522180902E-2</v>
      </c>
      <c r="D17" s="129">
        <f t="shared" si="7"/>
        <v>0.16197829338590986</v>
      </c>
      <c r="E17" s="129">
        <f t="shared" si="7"/>
        <v>0.16192039624057217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4" t="str">
        <f t="shared" si="7"/>
        <v/>
      </c>
      <c r="N17" s="6"/>
    </row>
    <row r="18" spans="1:14" ht="15.75" customHeight="1" x14ac:dyDescent="0.4">
      <c r="A18" s="9"/>
      <c r="B18" s="44" t="s">
        <v>249</v>
      </c>
      <c r="C18" s="144">
        <v>1613</v>
      </c>
      <c r="D18" s="144">
        <v>2645</v>
      </c>
      <c r="E18" s="144">
        <v>299</v>
      </c>
      <c r="F18" s="144"/>
      <c r="G18" s="144"/>
      <c r="H18" s="144"/>
      <c r="I18" s="144"/>
      <c r="J18" s="144"/>
      <c r="K18" s="144"/>
      <c r="L18" s="144"/>
      <c r="M18" s="245"/>
      <c r="N18" s="6"/>
    </row>
    <row r="19" spans="1:14" ht="15.75" customHeight="1" x14ac:dyDescent="0.4">
      <c r="A19" s="9"/>
      <c r="B19" s="44" t="s">
        <v>56</v>
      </c>
      <c r="C19" s="35">
        <v>92093</v>
      </c>
      <c r="D19" s="35">
        <v>223781</v>
      </c>
      <c r="E19" s="35">
        <v>185164</v>
      </c>
      <c r="F19" s="35"/>
      <c r="G19" s="35"/>
      <c r="H19" s="35"/>
      <c r="I19" s="35"/>
      <c r="J19" s="35"/>
      <c r="K19" s="35"/>
      <c r="L19" s="35"/>
      <c r="M19" s="241"/>
      <c r="N19" s="6"/>
    </row>
    <row r="20" spans="1:14" ht="15.75" customHeight="1" x14ac:dyDescent="0.4">
      <c r="A20" s="9"/>
      <c r="B20" s="44" t="s">
        <v>264</v>
      </c>
      <c r="C20" s="14">
        <f>IF(D19="","",IF(ABS(C19+D19)=ABS(C19)+ABS(D19),IF(C19&lt;0,-1,1)*(C19-D19)/D19,"Turn"))</f>
        <v>-0.58846818988207217</v>
      </c>
      <c r="D20" s="14">
        <f t="shared" ref="D20:M20" si="8">IF(E19="","",IF(ABS(D19+E19)=ABS(D19)+ABS(E19),IF(D19&lt;0,-1,1)*(D19-E19)/E19,"Turn"))</f>
        <v>0.20855565876736298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4">
      <c r="A21" s="9"/>
      <c r="B21" s="44" t="s">
        <v>57</v>
      </c>
      <c r="C21" s="176">
        <v>3103683</v>
      </c>
      <c r="D21" s="35">
        <v>1398268</v>
      </c>
      <c r="E21" s="35">
        <v>1034632</v>
      </c>
      <c r="F21" s="35"/>
      <c r="G21" s="35"/>
      <c r="H21" s="35"/>
      <c r="I21" s="35"/>
      <c r="J21" s="35"/>
      <c r="K21" s="35"/>
      <c r="L21" s="35"/>
      <c r="M21" s="241"/>
      <c r="N21" s="6"/>
    </row>
    <row r="22" spans="1:14" ht="15.75" customHeight="1" x14ac:dyDescent="0.4">
      <c r="A22" s="9"/>
      <c r="B22" s="44" t="s">
        <v>58</v>
      </c>
      <c r="C22" s="176">
        <v>677999</v>
      </c>
      <c r="D22" s="35">
        <v>1352795</v>
      </c>
      <c r="E22" s="35">
        <v>1205068</v>
      </c>
      <c r="F22" s="35"/>
      <c r="G22" s="35"/>
      <c r="H22" s="35"/>
      <c r="I22" s="35"/>
      <c r="J22" s="35"/>
      <c r="K22" s="35"/>
      <c r="L22" s="35"/>
      <c r="M22" s="241"/>
      <c r="N22" s="6"/>
    </row>
    <row r="23" spans="1:14" ht="15.5" customHeight="1" x14ac:dyDescent="0.4">
      <c r="A23" s="9"/>
      <c r="B23" s="44" t="s">
        <v>59</v>
      </c>
      <c r="C23" s="176">
        <v>5517</v>
      </c>
      <c r="D23" s="35">
        <v>301783</v>
      </c>
      <c r="E23" s="35">
        <v>3225</v>
      </c>
      <c r="F23" s="35"/>
      <c r="G23" s="35"/>
      <c r="H23" s="35"/>
      <c r="I23" s="35"/>
      <c r="J23" s="35"/>
      <c r="K23" s="35"/>
      <c r="L23" s="35"/>
      <c r="M23" s="241"/>
      <c r="N23" s="6"/>
    </row>
    <row r="24" spans="1:14" ht="15.75" customHeight="1" x14ac:dyDescent="0.4">
      <c r="A24" s="9"/>
      <c r="B24" s="141" t="s">
        <v>60</v>
      </c>
      <c r="C24" s="272">
        <v>5517</v>
      </c>
      <c r="D24" s="140">
        <v>1783</v>
      </c>
      <c r="E24" s="140">
        <v>3225</v>
      </c>
      <c r="F24" s="140"/>
      <c r="G24" s="140"/>
      <c r="H24" s="140"/>
      <c r="I24" s="140"/>
      <c r="J24" s="140"/>
      <c r="K24" s="140"/>
      <c r="L24" s="140"/>
      <c r="M24" s="246"/>
      <c r="N24" s="6"/>
    </row>
    <row r="25" spans="1:14" ht="15.75" customHeight="1" x14ac:dyDescent="0.4">
      <c r="A25" s="9"/>
      <c r="B25" s="44" t="s">
        <v>61</v>
      </c>
      <c r="C25" s="176">
        <v>9392</v>
      </c>
      <c r="D25" s="35">
        <v>5096</v>
      </c>
      <c r="E25" s="35">
        <v>6880</v>
      </c>
      <c r="F25" s="35"/>
      <c r="G25" s="35"/>
      <c r="H25" s="35"/>
      <c r="I25" s="35"/>
      <c r="J25" s="35"/>
      <c r="K25" s="35"/>
      <c r="L25" s="35"/>
      <c r="M25" s="241"/>
      <c r="N25" s="6"/>
    </row>
    <row r="26" spans="1:14" ht="15.75" customHeight="1" x14ac:dyDescent="0.4">
      <c r="A26" s="9"/>
      <c r="B26" s="141" t="s">
        <v>62</v>
      </c>
      <c r="C26" s="175">
        <v>9392</v>
      </c>
      <c r="D26" s="140">
        <v>5096</v>
      </c>
      <c r="E26" s="140">
        <v>6880</v>
      </c>
      <c r="F26" s="140"/>
      <c r="G26" s="140"/>
      <c r="H26" s="140"/>
      <c r="I26" s="140"/>
      <c r="J26" s="140"/>
      <c r="K26" s="140"/>
      <c r="L26" s="140"/>
      <c r="M26" s="246"/>
      <c r="N26" s="6"/>
    </row>
    <row r="27" spans="1:14" ht="15.75" customHeight="1" x14ac:dyDescent="0.4">
      <c r="A27" s="9"/>
      <c r="B27" s="44" t="s">
        <v>63</v>
      </c>
      <c r="C27" s="27">
        <f t="shared" ref="C27:M27" si="9">IF(C7="","",C23+C25)</f>
        <v>14909</v>
      </c>
      <c r="D27" s="27">
        <f t="shared" si="9"/>
        <v>306879</v>
      </c>
      <c r="E27" s="27">
        <f t="shared" si="9"/>
        <v>10105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2" t="str">
        <f t="shared" si="9"/>
        <v/>
      </c>
      <c r="N27" s="6"/>
    </row>
    <row r="28" spans="1:14" ht="15.75" customHeight="1" x14ac:dyDescent="0.4">
      <c r="A28" s="9"/>
      <c r="B28" s="44" t="s">
        <v>64</v>
      </c>
      <c r="C28" s="176">
        <v>2735259</v>
      </c>
      <c r="D28" s="35">
        <v>250534</v>
      </c>
      <c r="E28" s="35">
        <v>13930</v>
      </c>
      <c r="F28" s="35"/>
      <c r="G28" s="35"/>
      <c r="H28" s="35"/>
      <c r="I28" s="35"/>
      <c r="J28" s="35"/>
      <c r="K28" s="35"/>
      <c r="L28" s="35"/>
      <c r="M28" s="241"/>
      <c r="N28" s="6"/>
    </row>
    <row r="29" spans="1:14" ht="15.75" customHeight="1" x14ac:dyDescent="0.4">
      <c r="A29" s="9"/>
      <c r="B29" s="141" t="s">
        <v>206</v>
      </c>
      <c r="C29" s="175">
        <v>2733761</v>
      </c>
      <c r="D29" s="140">
        <v>247681</v>
      </c>
      <c r="E29" s="140">
        <v>13234</v>
      </c>
      <c r="F29" s="140"/>
      <c r="G29" s="140"/>
      <c r="H29" s="140"/>
      <c r="I29" s="140"/>
      <c r="J29" s="140"/>
      <c r="K29" s="140"/>
      <c r="L29" s="140"/>
      <c r="M29" s="246"/>
      <c r="N29" s="6"/>
    </row>
    <row r="30" spans="1:14" ht="15.75" customHeight="1" x14ac:dyDescent="0.4">
      <c r="A30" s="9"/>
      <c r="B30" s="44" t="s">
        <v>65</v>
      </c>
      <c r="C30" s="176">
        <v>197933</v>
      </c>
      <c r="D30" s="35">
        <v>172844</v>
      </c>
      <c r="E30" s="35">
        <v>159191</v>
      </c>
      <c r="F30" s="35"/>
      <c r="G30" s="35"/>
      <c r="H30" s="35"/>
      <c r="I30" s="35"/>
      <c r="J30" s="35"/>
      <c r="K30" s="35"/>
      <c r="L30" s="35"/>
      <c r="M30" s="241"/>
      <c r="N30" s="6"/>
    </row>
    <row r="31" spans="1:14" ht="15.75" customHeight="1" x14ac:dyDescent="0.4">
      <c r="A31" s="9"/>
      <c r="B31" s="44" t="s">
        <v>228</v>
      </c>
      <c r="C31" s="176">
        <v>2558156</v>
      </c>
      <c r="D31" s="35">
        <v>884766</v>
      </c>
      <c r="E31" s="35">
        <v>511035</v>
      </c>
      <c r="F31" s="35"/>
      <c r="G31" s="35"/>
      <c r="H31" s="35"/>
      <c r="I31" s="35"/>
      <c r="J31" s="35"/>
      <c r="K31" s="35"/>
      <c r="L31" s="35"/>
      <c r="M31" s="241"/>
      <c r="N31" s="6"/>
    </row>
    <row r="32" spans="1:14" ht="15.75" customHeight="1" x14ac:dyDescent="0.4">
      <c r="A32" s="9"/>
      <c r="B32" s="44" t="s">
        <v>66</v>
      </c>
      <c r="C32" s="14">
        <f t="shared" ref="C32:M32" si="10">IF(D7="","",(C30-D30)/C30)</f>
        <v>0.12675501305997483</v>
      </c>
      <c r="D32" s="14">
        <f t="shared" si="10"/>
        <v>7.8990303394968875E-2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4">
      <c r="A33" s="9"/>
      <c r="B33" s="44" t="s">
        <v>67</v>
      </c>
      <c r="C33" s="248">
        <f>IF(D7="","",(C7-D7)*Asset_Model!$D$65)</f>
        <v>5735.4567999999999</v>
      </c>
      <c r="D33" s="248">
        <f>IF(E7="","",(D7-E7)*Asset_Model!$D$65)</f>
        <v>27285.171199999997</v>
      </c>
      <c r="E33" s="248" t="str">
        <f>IF(F7="","",(E7-F7)*Asset_Model!$D$65)</f>
        <v/>
      </c>
      <c r="F33" s="248" t="str">
        <f>IF(G7="","",(F7-G7)*Asset_Model!$D$65)</f>
        <v/>
      </c>
      <c r="G33" s="248" t="str">
        <f>IF(H7="","",(G7-H7)*Asset_Model!$D$65)</f>
        <v/>
      </c>
      <c r="H33" s="248" t="str">
        <f>IF(I7="","",(H7-I7)*Asset_Model!$D$65)</f>
        <v/>
      </c>
      <c r="I33" s="248" t="str">
        <f>IF(J7="","",(I7-J7)*Asset_Model!$D$65)</f>
        <v/>
      </c>
      <c r="J33" s="248" t="str">
        <f>IF(K7="","",(J7-K7)*Asset_Model!$D$65)</f>
        <v/>
      </c>
      <c r="K33" s="248" t="str">
        <f>IF(L7="","",(K7-L7)*Asset_Model!$D$65)</f>
        <v/>
      </c>
      <c r="L33" s="248" t="str">
        <f>IF(M7="","",(L7-M7)*Asset_Model!$D$65)</f>
        <v/>
      </c>
      <c r="M33" s="249" t="str">
        <f>IF(N7="","",(M7-N7)*Asset_Model!$D$65)</f>
        <v/>
      </c>
      <c r="N33" s="6"/>
    </row>
    <row r="34" spans="1:14" ht="15.75" customHeight="1" x14ac:dyDescent="0.4">
      <c r="A34" s="9"/>
      <c r="B34" s="44" t="s">
        <v>79</v>
      </c>
      <c r="C34" s="143">
        <f>IF(D7="","",C30-D30+C33+IF($C$49="Yes",C51,0))</f>
        <v>30824.4568</v>
      </c>
      <c r="D34" s="143">
        <f>IF(E7="","",D30-E30+D33+IF($C$49="Yes",D51,0))</f>
        <v>40938.171199999997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4">
      <c r="A35" s="9"/>
      <c r="B35" s="247" t="s">
        <v>68</v>
      </c>
      <c r="C35" s="239">
        <f t="shared" ref="C35:M35" si="19">IF(C34="","",C34/C16)</f>
        <v>0.42808178207371606</v>
      </c>
      <c r="D35" s="239">
        <f t="shared" si="19"/>
        <v>0.14848164461467037</v>
      </c>
      <c r="E35" s="239" t="str">
        <f t="shared" si="19"/>
        <v/>
      </c>
      <c r="F35" s="239" t="str">
        <f t="shared" si="19"/>
        <v/>
      </c>
      <c r="G35" s="239" t="str">
        <f t="shared" si="19"/>
        <v/>
      </c>
      <c r="H35" s="239" t="str">
        <f t="shared" si="19"/>
        <v/>
      </c>
      <c r="I35" s="239" t="str">
        <f t="shared" si="19"/>
        <v/>
      </c>
      <c r="J35" s="239" t="str">
        <f t="shared" si="19"/>
        <v/>
      </c>
      <c r="K35" s="239" t="str">
        <f t="shared" si="19"/>
        <v/>
      </c>
      <c r="L35" s="239" t="str">
        <f t="shared" si="19"/>
        <v/>
      </c>
      <c r="M35" s="240" t="str">
        <f t="shared" si="19"/>
        <v/>
      </c>
      <c r="N35" s="6"/>
    </row>
    <row r="36" spans="1:14" ht="15.75" customHeight="1" x14ac:dyDescent="0.4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4">
      <c r="A37" s="9"/>
      <c r="B37" s="168" t="s">
        <v>250</v>
      </c>
      <c r="C37" s="165">
        <v>58667</v>
      </c>
      <c r="D37" s="165">
        <v>221311</v>
      </c>
      <c r="E37" s="165">
        <v>220950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4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4">
      <c r="A39" s="9"/>
      <c r="B39" s="142" t="s">
        <v>202</v>
      </c>
      <c r="C39" s="170">
        <f t="shared" ref="C39:M39" si="20">IF(C37="","",C37*$C$4/Common_Shares)</f>
        <v>4.4000343500729941E-2</v>
      </c>
      <c r="D39" s="170">
        <f t="shared" si="20"/>
        <v>0.16598360271515578</v>
      </c>
      <c r="E39" s="170">
        <f t="shared" si="20"/>
        <v>0.1657128521398108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4">
      <c r="A40" s="9"/>
      <c r="B40" s="169" t="s">
        <v>203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4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4">
      <c r="A42" s="9"/>
      <c r="B42" s="43" t="s">
        <v>72</v>
      </c>
      <c r="C42" s="48">
        <f>IF(C29="","",C25/C28)</f>
        <v>3.4336784926034427E-3</v>
      </c>
      <c r="D42" s="48">
        <f t="shared" ref="D42:M42" si="22">IF(D29="","",D25/D29)</f>
        <v>2.0574852330215075E-2</v>
      </c>
      <c r="E42" s="48">
        <f t="shared" si="22"/>
        <v>0.51987305425419372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4">
      <c r="A43" s="9"/>
      <c r="B43" s="44" t="s">
        <v>245</v>
      </c>
      <c r="C43" s="14">
        <f t="shared" ref="C43:M43" si="23">IF(C29="","",C27/C29)</f>
        <v>5.4536588970286719E-3</v>
      </c>
      <c r="D43" s="14">
        <f t="shared" si="23"/>
        <v>1.2390090479285856</v>
      </c>
      <c r="E43" s="14">
        <f t="shared" si="23"/>
        <v>0.76356354843584706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4">
      <c r="A44" s="9"/>
      <c r="B44" s="44" t="s">
        <v>73</v>
      </c>
      <c r="C44" s="50">
        <f t="shared" ref="C44:M44" si="24">IF(C14="","",IF(C27&lt;=0,"-",C14/C27))</f>
        <v>4.8297001810986648</v>
      </c>
      <c r="D44" s="50">
        <f t="shared" si="24"/>
        <v>0.89843879835374851</v>
      </c>
      <c r="E44" s="50">
        <f t="shared" si="24"/>
        <v>22.167342899554676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4">
      <c r="A45" s="9"/>
      <c r="B45" s="44" t="s">
        <v>74</v>
      </c>
      <c r="C45" s="14">
        <f t="shared" ref="C45:M45" si="25">IF(C16="","",IF(C18&lt;=0,"-",C18/C16))</f>
        <v>2.2400911035191512E-2</v>
      </c>
      <c r="D45" s="14">
        <f t="shared" si="25"/>
        <v>9.5933437790157849E-3</v>
      </c>
      <c r="E45" s="14">
        <f t="shared" si="25"/>
        <v>1.3348154695737966E-3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4">
      <c r="A46" s="9"/>
      <c r="B46" s="46" t="s">
        <v>75</v>
      </c>
      <c r="C46" s="51">
        <f t="shared" ref="C46:M46" si="26">IF(C21="","",C21/C22)</f>
        <v>4.5777102916081001</v>
      </c>
      <c r="D46" s="51">
        <f t="shared" si="26"/>
        <v>1.0336141100462377</v>
      </c>
      <c r="E46" s="51">
        <f t="shared" si="26"/>
        <v>0.85856731736300362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4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4">
      <c r="A48" s="9"/>
      <c r="B48" s="21" t="s">
        <v>76</v>
      </c>
      <c r="C48" s="52"/>
      <c r="D48" s="52"/>
      <c r="E48" s="52"/>
      <c r="F48" s="52"/>
    </row>
    <row r="49" spans="1:13" ht="15" customHeight="1" x14ac:dyDescent="0.4">
      <c r="A49" s="9"/>
      <c r="B49" s="5" t="s">
        <v>77</v>
      </c>
      <c r="C49" s="341" t="s">
        <v>78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4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4">
      <c r="A51" s="9"/>
      <c r="B51" s="339" t="s">
        <v>288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4">
      <c r="A52" s="9"/>
      <c r="B52" s="340" t="s">
        <v>289</v>
      </c>
      <c r="C52" s="347" t="str">
        <f>IF(C51="","",C51/C7)</f>
        <v/>
      </c>
      <c r="D52" s="347" t="str">
        <f t="shared" ref="D52:M52" si="27">IF(D51="","",D51/D7)</f>
        <v/>
      </c>
      <c r="E52" s="347" t="str">
        <f t="shared" si="27"/>
        <v/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4">
      <c r="A53" s="9"/>
      <c r="B53" s="53"/>
      <c r="C53" s="56"/>
      <c r="D53" s="56"/>
    </row>
    <row r="54" spans="1:13" ht="15.75" customHeight="1" x14ac:dyDescent="0.4">
      <c r="A54" s="9"/>
      <c r="B54" s="53"/>
      <c r="C54" s="56"/>
      <c r="D54" s="56"/>
    </row>
    <row r="55" spans="1:13" ht="15.75" customHeight="1" x14ac:dyDescent="0.4">
      <c r="A55" s="9"/>
      <c r="B55" s="53"/>
      <c r="C55" s="56"/>
      <c r="D55" s="56"/>
    </row>
    <row r="56" spans="1:13" ht="15.75" customHeight="1" x14ac:dyDescent="0.4">
      <c r="A56" s="9"/>
      <c r="B56" s="53"/>
      <c r="C56" s="57"/>
      <c r="D56" s="57"/>
    </row>
    <row r="57" spans="1:13" ht="15.75" customHeight="1" x14ac:dyDescent="0.4">
      <c r="A57" s="9"/>
      <c r="B57" s="53"/>
      <c r="C57" s="56"/>
      <c r="D57" s="56"/>
    </row>
    <row r="58" spans="1:13" ht="15.75" customHeight="1" x14ac:dyDescent="0.4">
      <c r="A58" s="9"/>
      <c r="B58" s="53"/>
      <c r="C58" s="57"/>
      <c r="D58" s="57"/>
    </row>
    <row r="59" spans="1:13" ht="15.75" customHeight="1" x14ac:dyDescent="0.4">
      <c r="A59" s="9"/>
    </row>
    <row r="60" spans="1:13" ht="15.75" customHeight="1" x14ac:dyDescent="0.4">
      <c r="A60" s="9"/>
    </row>
    <row r="61" spans="1:13" ht="15.75" customHeight="1" x14ac:dyDescent="0.4">
      <c r="A61" s="9"/>
    </row>
    <row r="62" spans="1:13" ht="15.75" customHeight="1" x14ac:dyDescent="0.4">
      <c r="A62" s="9"/>
    </row>
    <row r="63" spans="1:13" ht="15.75" customHeight="1" x14ac:dyDescent="0.4">
      <c r="A63" s="9"/>
    </row>
    <row r="64" spans="1:13" ht="15.75" customHeight="1" x14ac:dyDescent="0.4">
      <c r="A64" s="9"/>
    </row>
    <row r="65" spans="1:1" ht="15.75" customHeight="1" x14ac:dyDescent="0.4">
      <c r="A65" s="9"/>
    </row>
    <row r="66" spans="1:1" ht="15.75" customHeight="1" x14ac:dyDescent="0.4">
      <c r="A66" s="9"/>
    </row>
    <row r="67" spans="1:1" ht="15.75" customHeight="1" x14ac:dyDescent="0.4">
      <c r="A67" s="9"/>
    </row>
    <row r="68" spans="1:1" ht="15.75" customHeight="1" x14ac:dyDescent="0.4">
      <c r="A68" s="9"/>
    </row>
    <row r="69" spans="1:1" ht="15.75" customHeight="1" x14ac:dyDescent="0.4">
      <c r="A69" s="9"/>
    </row>
    <row r="70" spans="1:1" ht="15.75" customHeight="1" x14ac:dyDescent="0.4">
      <c r="A70" s="9"/>
    </row>
    <row r="71" spans="1:1" ht="15.75" customHeight="1" x14ac:dyDescent="0.4">
      <c r="A71" s="9"/>
    </row>
    <row r="72" spans="1:1" ht="15.75" customHeight="1" x14ac:dyDescent="0.4">
      <c r="A72" s="9"/>
    </row>
    <row r="73" spans="1:1" ht="15.75" customHeight="1" x14ac:dyDescent="0.4">
      <c r="A73" s="9"/>
    </row>
    <row r="74" spans="1:1" ht="15.75" customHeight="1" x14ac:dyDescent="0.4">
      <c r="A74" s="9"/>
    </row>
    <row r="75" spans="1:1" ht="15.75" customHeight="1" x14ac:dyDescent="0.4">
      <c r="A75" s="9"/>
    </row>
    <row r="76" spans="1:1" ht="15.75" customHeight="1" x14ac:dyDescent="0.4">
      <c r="A76" s="9"/>
    </row>
    <row r="77" spans="1:1" ht="15.75" customHeight="1" x14ac:dyDescent="0.4">
      <c r="A77" s="9"/>
    </row>
    <row r="78" spans="1:1" ht="15.75" customHeight="1" x14ac:dyDescent="0.4">
      <c r="A78" s="9"/>
    </row>
    <row r="79" spans="1:1" ht="15.75" customHeight="1" x14ac:dyDescent="0.4">
      <c r="A79" s="9"/>
    </row>
    <row r="80" spans="1:1" ht="15.75" customHeight="1" x14ac:dyDescent="0.4">
      <c r="A80" s="9"/>
    </row>
    <row r="81" spans="1:1" ht="15.75" customHeight="1" x14ac:dyDescent="0.4">
      <c r="A81" s="9"/>
    </row>
    <row r="82" spans="1:1" ht="15.75" customHeight="1" x14ac:dyDescent="0.4">
      <c r="A82" s="9"/>
    </row>
    <row r="83" spans="1:1" ht="15.75" customHeight="1" x14ac:dyDescent="0.4">
      <c r="A83" s="9"/>
    </row>
    <row r="84" spans="1:1" ht="15.75" customHeight="1" x14ac:dyDescent="0.4">
      <c r="A84" s="9"/>
    </row>
    <row r="85" spans="1:1" ht="15.75" customHeight="1" x14ac:dyDescent="0.4">
      <c r="A85" s="9"/>
    </row>
    <row r="86" spans="1:1" ht="15.75" customHeight="1" x14ac:dyDescent="0.4">
      <c r="A86" s="9"/>
    </row>
    <row r="87" spans="1:1" ht="15.75" customHeight="1" x14ac:dyDescent="0.4">
      <c r="A87" s="9"/>
    </row>
    <row r="88" spans="1:1" ht="15.75" customHeight="1" x14ac:dyDescent="0.4">
      <c r="A88" s="9"/>
    </row>
    <row r="89" spans="1:1" ht="15.75" customHeight="1" x14ac:dyDescent="0.4">
      <c r="A89" s="9"/>
    </row>
    <row r="90" spans="1:1" ht="15.75" customHeight="1" x14ac:dyDescent="0.4">
      <c r="A90" s="9"/>
    </row>
    <row r="91" spans="1:1" ht="15.75" customHeight="1" x14ac:dyDescent="0.4">
      <c r="A91" s="9"/>
    </row>
    <row r="92" spans="1:1" ht="15.75" customHeight="1" x14ac:dyDescent="0.4">
      <c r="A92" s="9"/>
    </row>
    <row r="93" spans="1:1" ht="15.75" customHeight="1" x14ac:dyDescent="0.4">
      <c r="A93" s="9"/>
    </row>
    <row r="94" spans="1:1" ht="15.75" customHeight="1" x14ac:dyDescent="0.4">
      <c r="A94" s="9"/>
    </row>
    <row r="95" spans="1:1" ht="15.75" customHeight="1" x14ac:dyDescent="0.4">
      <c r="A95" s="9"/>
    </row>
    <row r="96" spans="1:1" ht="15.75" customHeight="1" x14ac:dyDescent="0.4">
      <c r="A96" s="9"/>
    </row>
    <row r="97" spans="1:1" ht="15.75" customHeight="1" x14ac:dyDescent="0.4">
      <c r="A97" s="9"/>
    </row>
    <row r="98" spans="1:1" ht="15.75" customHeight="1" x14ac:dyDescent="0.4">
      <c r="A98" s="9"/>
    </row>
    <row r="99" spans="1:1" ht="15.75" customHeight="1" x14ac:dyDescent="0.4">
      <c r="A99" s="9"/>
    </row>
    <row r="100" spans="1:1" ht="15.75" customHeight="1" x14ac:dyDescent="0.4">
      <c r="A100" s="9"/>
    </row>
    <row r="101" spans="1:1" ht="15.75" customHeight="1" x14ac:dyDescent="0.4">
      <c r="A101" s="9"/>
    </row>
    <row r="102" spans="1:1" ht="15.75" customHeight="1" x14ac:dyDescent="0.4">
      <c r="A102" s="9"/>
    </row>
    <row r="103" spans="1:1" ht="15.75" customHeight="1" x14ac:dyDescent="0.4">
      <c r="A103" s="9"/>
    </row>
    <row r="104" spans="1:1" ht="15.75" customHeight="1" x14ac:dyDescent="0.4">
      <c r="A104" s="9"/>
    </row>
    <row r="105" spans="1:1" ht="15.75" customHeight="1" x14ac:dyDescent="0.4">
      <c r="A105" s="9"/>
    </row>
    <row r="106" spans="1:1" ht="15.75" customHeight="1" x14ac:dyDescent="0.4">
      <c r="A106" s="9"/>
    </row>
    <row r="107" spans="1:1" ht="15.75" customHeight="1" x14ac:dyDescent="0.4">
      <c r="A107" s="9"/>
    </row>
    <row r="108" spans="1:1" ht="15.75" customHeight="1" x14ac:dyDescent="0.4">
      <c r="A108" s="9"/>
    </row>
    <row r="109" spans="1:1" ht="15.75" customHeight="1" x14ac:dyDescent="0.4">
      <c r="A109" s="9"/>
    </row>
    <row r="110" spans="1:1" ht="15.75" customHeight="1" x14ac:dyDescent="0.4">
      <c r="A110" s="9"/>
    </row>
    <row r="111" spans="1:1" ht="15.75" customHeight="1" x14ac:dyDescent="0.4">
      <c r="A111" s="9"/>
    </row>
    <row r="112" spans="1:1" ht="15.75" customHeight="1" x14ac:dyDescent="0.4">
      <c r="A112" s="9"/>
    </row>
    <row r="113" spans="1:1" ht="15.75" customHeight="1" x14ac:dyDescent="0.4">
      <c r="A113" s="9"/>
    </row>
    <row r="114" spans="1:1" ht="15.75" customHeight="1" x14ac:dyDescent="0.4">
      <c r="A114" s="9"/>
    </row>
    <row r="115" spans="1:1" ht="15.75" customHeight="1" x14ac:dyDescent="0.4">
      <c r="A115" s="9"/>
    </row>
    <row r="116" spans="1:1" ht="15.75" customHeight="1" x14ac:dyDescent="0.4">
      <c r="A116" s="9"/>
    </row>
    <row r="117" spans="1:1" ht="15.75" customHeight="1" x14ac:dyDescent="0.4">
      <c r="A117" s="9"/>
    </row>
    <row r="118" spans="1:1" ht="15.75" customHeight="1" x14ac:dyDescent="0.4">
      <c r="A118" s="9"/>
    </row>
    <row r="119" spans="1:1" ht="15.75" customHeight="1" x14ac:dyDescent="0.4">
      <c r="A119" s="9"/>
    </row>
    <row r="120" spans="1:1" ht="15.75" customHeight="1" x14ac:dyDescent="0.4">
      <c r="A120" s="9"/>
    </row>
    <row r="121" spans="1:1" ht="15.75" customHeight="1" x14ac:dyDescent="0.4">
      <c r="A121" s="9"/>
    </row>
    <row r="122" spans="1:1" ht="15.75" customHeight="1" x14ac:dyDescent="0.4">
      <c r="A122" s="9"/>
    </row>
    <row r="123" spans="1:1" ht="15.75" customHeight="1" x14ac:dyDescent="0.4">
      <c r="A123" s="9"/>
    </row>
    <row r="124" spans="1:1" ht="15.75" customHeight="1" x14ac:dyDescent="0.4">
      <c r="A124" s="9"/>
    </row>
    <row r="125" spans="1:1" ht="15.75" customHeight="1" x14ac:dyDescent="0.4">
      <c r="A125" s="9"/>
    </row>
    <row r="126" spans="1:1" ht="15.75" customHeight="1" x14ac:dyDescent="0.4">
      <c r="A126" s="9"/>
    </row>
    <row r="127" spans="1:1" ht="15.75" customHeight="1" x14ac:dyDescent="0.4">
      <c r="A127" s="9"/>
    </row>
    <row r="128" spans="1:1" ht="15.75" customHeight="1" x14ac:dyDescent="0.4">
      <c r="A128" s="9"/>
    </row>
    <row r="129" spans="1:1" ht="15.75" customHeight="1" x14ac:dyDescent="0.4">
      <c r="A129" s="9"/>
    </row>
    <row r="130" spans="1:1" ht="15.75" customHeight="1" x14ac:dyDescent="0.4">
      <c r="A130" s="9"/>
    </row>
    <row r="131" spans="1:1" ht="15.75" customHeight="1" x14ac:dyDescent="0.4">
      <c r="A131" s="9"/>
    </row>
    <row r="132" spans="1:1" ht="15.75" customHeight="1" x14ac:dyDescent="0.4">
      <c r="A132" s="9"/>
    </row>
    <row r="133" spans="1:1" ht="15.75" customHeight="1" x14ac:dyDescent="0.4">
      <c r="A133" s="9"/>
    </row>
    <row r="134" spans="1:1" ht="15.75" customHeight="1" x14ac:dyDescent="0.4">
      <c r="A134" s="9"/>
    </row>
    <row r="135" spans="1:1" ht="15.75" customHeight="1" x14ac:dyDescent="0.4">
      <c r="A135" s="9"/>
    </row>
    <row r="136" spans="1:1" ht="15.75" customHeight="1" x14ac:dyDescent="0.4">
      <c r="A136" s="9"/>
    </row>
    <row r="137" spans="1:1" ht="15.75" customHeight="1" x14ac:dyDescent="0.4">
      <c r="A137" s="9"/>
    </row>
    <row r="138" spans="1:1" ht="15.75" customHeight="1" x14ac:dyDescent="0.4">
      <c r="A138" s="9"/>
    </row>
    <row r="139" spans="1:1" ht="15.75" customHeight="1" x14ac:dyDescent="0.4">
      <c r="A139" s="9"/>
    </row>
    <row r="140" spans="1:1" ht="15.75" customHeight="1" x14ac:dyDescent="0.4">
      <c r="A140" s="9"/>
    </row>
    <row r="141" spans="1:1" ht="15.75" customHeight="1" x14ac:dyDescent="0.4">
      <c r="A141" s="9"/>
    </row>
    <row r="142" spans="1:1" ht="15.75" customHeight="1" x14ac:dyDescent="0.4">
      <c r="A142" s="9"/>
    </row>
    <row r="143" spans="1:1" ht="15.75" customHeight="1" x14ac:dyDescent="0.4">
      <c r="A143" s="9"/>
    </row>
    <row r="144" spans="1:1" ht="15.75" customHeight="1" x14ac:dyDescent="0.4">
      <c r="A144" s="9"/>
    </row>
    <row r="145" spans="1:1" ht="15.75" customHeight="1" x14ac:dyDescent="0.4">
      <c r="A145" s="9"/>
    </row>
    <row r="146" spans="1:1" ht="15.75" customHeight="1" x14ac:dyDescent="0.4">
      <c r="A146" s="9"/>
    </row>
    <row r="147" spans="1:1" ht="15.75" customHeight="1" x14ac:dyDescent="0.4">
      <c r="A147" s="9"/>
    </row>
    <row r="148" spans="1:1" ht="15.75" customHeight="1" x14ac:dyDescent="0.4">
      <c r="A148" s="9"/>
    </row>
    <row r="149" spans="1:1" ht="15.75" customHeight="1" x14ac:dyDescent="0.4">
      <c r="A149" s="9"/>
    </row>
    <row r="150" spans="1:1" ht="15.75" customHeight="1" x14ac:dyDescent="0.4">
      <c r="A150" s="9"/>
    </row>
    <row r="151" spans="1:1" ht="15.75" customHeight="1" x14ac:dyDescent="0.4">
      <c r="A151" s="9"/>
    </row>
    <row r="152" spans="1:1" ht="15.75" customHeight="1" x14ac:dyDescent="0.4">
      <c r="A152" s="9"/>
    </row>
    <row r="153" spans="1:1" ht="15.75" customHeight="1" x14ac:dyDescent="0.4">
      <c r="A153" s="9"/>
    </row>
    <row r="154" spans="1:1" ht="15.75" customHeight="1" x14ac:dyDescent="0.4">
      <c r="A154" s="9"/>
    </row>
    <row r="155" spans="1:1" ht="15.75" customHeight="1" x14ac:dyDescent="0.4">
      <c r="A155" s="9"/>
    </row>
    <row r="156" spans="1:1" ht="15.75" customHeight="1" x14ac:dyDescent="0.4">
      <c r="A156" s="9"/>
    </row>
    <row r="157" spans="1:1" ht="15.75" customHeight="1" x14ac:dyDescent="0.4">
      <c r="A157" s="9"/>
    </row>
    <row r="158" spans="1:1" ht="15.75" customHeight="1" x14ac:dyDescent="0.4">
      <c r="A158" s="9"/>
    </row>
    <row r="159" spans="1:1" ht="15.75" customHeight="1" x14ac:dyDescent="0.4">
      <c r="A159" s="9"/>
    </row>
    <row r="160" spans="1:1" ht="15.75" customHeight="1" x14ac:dyDescent="0.4">
      <c r="A160" s="9"/>
    </row>
    <row r="161" spans="1:1" ht="15.75" customHeight="1" x14ac:dyDescent="0.4">
      <c r="A161" s="9"/>
    </row>
    <row r="162" spans="1:1" ht="15.75" customHeight="1" x14ac:dyDescent="0.4">
      <c r="A162" s="9"/>
    </row>
    <row r="163" spans="1:1" ht="15.75" customHeight="1" x14ac:dyDescent="0.4">
      <c r="A163" s="9"/>
    </row>
    <row r="164" spans="1:1" ht="15.75" customHeight="1" x14ac:dyDescent="0.4">
      <c r="A164" s="9"/>
    </row>
    <row r="165" spans="1:1" ht="15.75" customHeight="1" x14ac:dyDescent="0.4">
      <c r="A165" s="9"/>
    </row>
    <row r="166" spans="1:1" ht="15.75" customHeight="1" x14ac:dyDescent="0.4">
      <c r="A166" s="9"/>
    </row>
    <row r="167" spans="1:1" ht="15.75" customHeight="1" x14ac:dyDescent="0.4">
      <c r="A167" s="9"/>
    </row>
    <row r="168" spans="1:1" ht="15.75" customHeight="1" x14ac:dyDescent="0.4">
      <c r="A168" s="9"/>
    </row>
    <row r="169" spans="1:1" ht="15.75" customHeight="1" x14ac:dyDescent="0.4">
      <c r="A169" s="9"/>
    </row>
    <row r="170" spans="1:1" ht="15.75" customHeight="1" x14ac:dyDescent="0.4">
      <c r="A170" s="9"/>
    </row>
    <row r="171" spans="1:1" ht="15.75" customHeight="1" x14ac:dyDescent="0.4">
      <c r="A171" s="9"/>
    </row>
    <row r="172" spans="1:1" ht="15.75" customHeight="1" x14ac:dyDescent="0.4">
      <c r="A172" s="9"/>
    </row>
    <row r="173" spans="1:1" ht="15.75" customHeight="1" x14ac:dyDescent="0.4">
      <c r="A173" s="9"/>
    </row>
    <row r="174" spans="1:1" ht="15.75" customHeight="1" x14ac:dyDescent="0.4">
      <c r="A174" s="9"/>
    </row>
    <row r="175" spans="1:1" ht="15.75" customHeight="1" x14ac:dyDescent="0.4">
      <c r="A175" s="9"/>
    </row>
    <row r="176" spans="1:1" ht="15.75" customHeight="1" x14ac:dyDescent="0.4">
      <c r="A176" s="9"/>
    </row>
    <row r="177" spans="1:1" ht="15.75" customHeight="1" x14ac:dyDescent="0.4">
      <c r="A177" s="9"/>
    </row>
    <row r="178" spans="1:1" ht="15.75" customHeight="1" x14ac:dyDescent="0.4">
      <c r="A178" s="9"/>
    </row>
    <row r="179" spans="1:1" ht="15.75" customHeight="1" x14ac:dyDescent="0.4">
      <c r="A179" s="9"/>
    </row>
    <row r="180" spans="1:1" ht="15.75" customHeight="1" x14ac:dyDescent="0.4">
      <c r="A180" s="9"/>
    </row>
    <row r="181" spans="1:1" ht="15.75" customHeight="1" x14ac:dyDescent="0.4">
      <c r="A181" s="9"/>
    </row>
    <row r="182" spans="1:1" ht="15.75" customHeight="1" x14ac:dyDescent="0.4">
      <c r="A182" s="9"/>
    </row>
    <row r="183" spans="1:1" ht="15.75" customHeight="1" x14ac:dyDescent="0.4">
      <c r="A183" s="9"/>
    </row>
    <row r="184" spans="1:1" ht="15.75" customHeight="1" x14ac:dyDescent="0.4">
      <c r="A184" s="9"/>
    </row>
    <row r="185" spans="1:1" ht="15.75" customHeight="1" x14ac:dyDescent="0.4">
      <c r="A185" s="9"/>
    </row>
    <row r="186" spans="1:1" ht="15.75" customHeight="1" x14ac:dyDescent="0.4">
      <c r="A186" s="9"/>
    </row>
    <row r="187" spans="1:1" ht="15.75" customHeight="1" x14ac:dyDescent="0.4">
      <c r="A187" s="9"/>
    </row>
    <row r="188" spans="1:1" ht="15.75" customHeight="1" x14ac:dyDescent="0.4">
      <c r="A188" s="9"/>
    </row>
    <row r="189" spans="1:1" ht="15.75" customHeight="1" x14ac:dyDescent="0.4">
      <c r="A189" s="9"/>
    </row>
    <row r="190" spans="1:1" ht="15.75" customHeight="1" x14ac:dyDescent="0.4">
      <c r="A190" s="9"/>
    </row>
    <row r="191" spans="1:1" ht="15.75" customHeight="1" x14ac:dyDescent="0.4">
      <c r="A191" s="9"/>
    </row>
    <row r="192" spans="1:1" ht="15.75" customHeight="1" x14ac:dyDescent="0.4">
      <c r="A192" s="9"/>
    </row>
    <row r="193" spans="1:1" ht="15.75" customHeight="1" x14ac:dyDescent="0.4">
      <c r="A193" s="9"/>
    </row>
    <row r="194" spans="1:1" ht="15.75" customHeight="1" x14ac:dyDescent="0.4">
      <c r="A194" s="9"/>
    </row>
    <row r="195" spans="1:1" ht="15.75" customHeight="1" x14ac:dyDescent="0.4">
      <c r="A195" s="9"/>
    </row>
    <row r="196" spans="1:1" ht="15.75" customHeight="1" x14ac:dyDescent="0.4">
      <c r="A196" s="9"/>
    </row>
    <row r="197" spans="1:1" ht="15.75" customHeight="1" x14ac:dyDescent="0.4">
      <c r="A197" s="9"/>
    </row>
    <row r="198" spans="1:1" ht="15.75" customHeight="1" x14ac:dyDescent="0.4">
      <c r="A198" s="9"/>
    </row>
    <row r="199" spans="1:1" ht="15.75" customHeight="1" x14ac:dyDescent="0.4">
      <c r="A199" s="9"/>
    </row>
    <row r="200" spans="1:1" ht="15.75" customHeight="1" x14ac:dyDescent="0.4">
      <c r="A200" s="9"/>
    </row>
    <row r="201" spans="1:1" ht="15.75" customHeight="1" x14ac:dyDescent="0.4">
      <c r="A201" s="9"/>
    </row>
    <row r="202" spans="1:1" ht="15.75" customHeight="1" x14ac:dyDescent="0.4">
      <c r="A202" s="9"/>
    </row>
    <row r="203" spans="1:1" ht="15.75" customHeight="1" x14ac:dyDescent="0.4">
      <c r="A203" s="9"/>
    </row>
    <row r="204" spans="1:1" ht="15.75" customHeight="1" x14ac:dyDescent="0.4">
      <c r="A204" s="9"/>
    </row>
    <row r="205" spans="1:1" ht="15.75" customHeight="1" x14ac:dyDescent="0.4">
      <c r="A205" s="9"/>
    </row>
    <row r="206" spans="1:1" ht="15.75" customHeight="1" x14ac:dyDescent="0.4">
      <c r="A206" s="9"/>
    </row>
    <row r="207" spans="1:1" ht="15.75" customHeight="1" x14ac:dyDescent="0.4">
      <c r="A207" s="9"/>
    </row>
    <row r="208" spans="1:1" ht="15.75" customHeight="1" x14ac:dyDescent="0.4">
      <c r="A208" s="9"/>
    </row>
    <row r="209" spans="1:1" ht="15.75" customHeight="1" x14ac:dyDescent="0.4">
      <c r="A209" s="9"/>
    </row>
    <row r="210" spans="1:1" ht="15.75" customHeight="1" x14ac:dyDescent="0.4">
      <c r="A210" s="9"/>
    </row>
    <row r="211" spans="1:1" ht="15.75" customHeight="1" x14ac:dyDescent="0.4">
      <c r="A211" s="9"/>
    </row>
    <row r="212" spans="1:1" ht="15.75" customHeight="1" x14ac:dyDescent="0.4">
      <c r="A212" s="9"/>
    </row>
    <row r="213" spans="1:1" ht="15.75" customHeight="1" x14ac:dyDescent="0.4">
      <c r="A213" s="9"/>
    </row>
    <row r="214" spans="1:1" ht="15.75" customHeight="1" x14ac:dyDescent="0.4">
      <c r="A214" s="9"/>
    </row>
    <row r="215" spans="1:1" ht="15.75" customHeight="1" x14ac:dyDescent="0.4">
      <c r="A215" s="9"/>
    </row>
    <row r="216" spans="1:1" ht="15.75" customHeight="1" x14ac:dyDescent="0.4">
      <c r="A216" s="9"/>
    </row>
    <row r="217" spans="1:1" ht="15.75" customHeight="1" x14ac:dyDescent="0.4">
      <c r="A217" s="9"/>
    </row>
    <row r="218" spans="1:1" ht="15.75" customHeight="1" x14ac:dyDescent="0.4">
      <c r="A218" s="9"/>
    </row>
    <row r="219" spans="1:1" ht="15.75" customHeight="1" x14ac:dyDescent="0.4">
      <c r="A219" s="9"/>
    </row>
    <row r="220" spans="1:1" ht="15.75" customHeight="1" x14ac:dyDescent="0.4">
      <c r="A220" s="9"/>
    </row>
    <row r="221" spans="1:1" ht="15.75" customHeight="1" x14ac:dyDescent="0.4">
      <c r="A221" s="9"/>
    </row>
    <row r="222" spans="1:1" ht="15.75" customHeight="1" x14ac:dyDescent="0.4">
      <c r="A222" s="9"/>
    </row>
    <row r="223" spans="1:1" ht="15.75" customHeight="1" x14ac:dyDescent="0.4">
      <c r="A223" s="9"/>
    </row>
    <row r="224" spans="1:1" ht="15.75" customHeight="1" x14ac:dyDescent="0.4">
      <c r="A224" s="9"/>
    </row>
    <row r="225" spans="1:1" ht="15.75" customHeight="1" x14ac:dyDescent="0.4">
      <c r="A225" s="9"/>
    </row>
    <row r="226" spans="1:1" ht="15.75" customHeight="1" x14ac:dyDescent="0.4">
      <c r="A226" s="9"/>
    </row>
    <row r="227" spans="1:1" ht="15.75" customHeight="1" x14ac:dyDescent="0.4">
      <c r="A227" s="9"/>
    </row>
    <row r="228" spans="1:1" ht="15.75" customHeight="1" x14ac:dyDescent="0.4">
      <c r="A228" s="9"/>
    </row>
    <row r="229" spans="1:1" ht="15.75" customHeight="1" x14ac:dyDescent="0.4">
      <c r="A229" s="9"/>
    </row>
    <row r="230" spans="1:1" ht="15.75" customHeight="1" x14ac:dyDescent="0.4">
      <c r="A230" s="9"/>
    </row>
    <row r="231" spans="1:1" ht="15.75" customHeight="1" x14ac:dyDescent="0.4">
      <c r="A231" s="9"/>
    </row>
    <row r="232" spans="1:1" ht="15.75" customHeight="1" x14ac:dyDescent="0.4">
      <c r="A232" s="9"/>
    </row>
    <row r="233" spans="1:1" ht="15.75" customHeight="1" x14ac:dyDescent="0.4">
      <c r="A233" s="9"/>
    </row>
    <row r="234" spans="1:1" ht="15.75" customHeight="1" x14ac:dyDescent="0.4">
      <c r="A234" s="9"/>
    </row>
    <row r="235" spans="1:1" ht="15.75" customHeight="1" x14ac:dyDescent="0.4">
      <c r="A235" s="9"/>
    </row>
    <row r="236" spans="1:1" ht="15.75" customHeight="1" x14ac:dyDescent="0.4">
      <c r="A236" s="9"/>
    </row>
    <row r="237" spans="1:1" ht="15.75" customHeight="1" x14ac:dyDescent="0.4">
      <c r="A237" s="9"/>
    </row>
    <row r="238" spans="1:1" ht="15.75" customHeight="1" x14ac:dyDescent="0.4">
      <c r="A238" s="9"/>
    </row>
    <row r="239" spans="1:1" ht="15.75" customHeight="1" x14ac:dyDescent="0.4">
      <c r="A239" s="9"/>
    </row>
    <row r="240" spans="1:1" ht="15.75" customHeight="1" x14ac:dyDescent="0.4">
      <c r="A240" s="9"/>
    </row>
    <row r="241" spans="1:1" ht="15.75" customHeight="1" x14ac:dyDescent="0.4">
      <c r="A241" s="9"/>
    </row>
    <row r="242" spans="1:1" ht="15.75" customHeight="1" x14ac:dyDescent="0.4">
      <c r="A242" s="9"/>
    </row>
    <row r="243" spans="1:1" ht="15.75" customHeight="1" x14ac:dyDescent="0.4">
      <c r="A243" s="9"/>
    </row>
    <row r="244" spans="1:1" ht="15.75" customHeight="1" x14ac:dyDescent="0.4">
      <c r="A244" s="9"/>
    </row>
    <row r="245" spans="1:1" ht="15.75" customHeight="1" x14ac:dyDescent="0.4">
      <c r="A245" s="9"/>
    </row>
    <row r="246" spans="1:1" ht="15.75" customHeight="1" x14ac:dyDescent="0.4">
      <c r="A246" s="9"/>
    </row>
    <row r="247" spans="1:1" ht="15.75" customHeight="1" x14ac:dyDescent="0.4">
      <c r="A247" s="9"/>
    </row>
    <row r="248" spans="1:1" ht="15.75" customHeight="1" x14ac:dyDescent="0.4">
      <c r="A248" s="9"/>
    </row>
    <row r="249" spans="1:1" ht="15.75" customHeight="1" x14ac:dyDescent="0.4">
      <c r="A249" s="9"/>
    </row>
    <row r="250" spans="1:1" ht="15.75" customHeight="1" x14ac:dyDescent="0.4">
      <c r="A250" s="9"/>
    </row>
    <row r="251" spans="1:1" ht="15.75" customHeight="1" x14ac:dyDescent="0.4">
      <c r="A251" s="9"/>
    </row>
    <row r="252" spans="1:1" ht="15.75" customHeight="1" x14ac:dyDescent="0.4">
      <c r="A252" s="9"/>
    </row>
    <row r="253" spans="1:1" ht="15.75" customHeight="1" x14ac:dyDescent="0.4">
      <c r="A253" s="9"/>
    </row>
    <row r="254" spans="1:1" ht="15.75" customHeight="1" x14ac:dyDescent="0.4">
      <c r="A254" s="9"/>
    </row>
    <row r="255" spans="1:1" ht="15.75" customHeight="1" x14ac:dyDescent="0.4">
      <c r="A255" s="9"/>
    </row>
    <row r="256" spans="1:1" ht="15.75" customHeight="1" x14ac:dyDescent="0.4">
      <c r="A256" s="9"/>
    </row>
    <row r="257" spans="1:1" ht="15.75" customHeight="1" x14ac:dyDescent="0.4">
      <c r="A257" s="9"/>
    </row>
    <row r="258" spans="1:1" ht="15.75" customHeight="1" x14ac:dyDescent="0.4">
      <c r="A258" s="9"/>
    </row>
    <row r="259" spans="1:1" ht="15.75" customHeight="1" x14ac:dyDescent="0.4"/>
    <row r="260" spans="1:1" ht="15.75" customHeight="1" x14ac:dyDescent="0.4"/>
    <row r="261" spans="1:1" ht="15.75" customHeight="1" x14ac:dyDescent="0.4"/>
    <row r="262" spans="1:1" ht="15.75" customHeight="1" x14ac:dyDescent="0.4"/>
    <row r="263" spans="1:1" ht="15.75" customHeight="1" x14ac:dyDescent="0.4"/>
    <row r="264" spans="1:1" ht="15.75" customHeight="1" x14ac:dyDescent="0.4"/>
    <row r="265" spans="1:1" ht="15.75" customHeight="1" x14ac:dyDescent="0.4"/>
    <row r="266" spans="1:1" ht="15.75" customHeight="1" x14ac:dyDescent="0.4"/>
    <row r="267" spans="1:1" ht="15.75" customHeight="1" x14ac:dyDescent="0.4"/>
    <row r="268" spans="1:1" ht="15.75" customHeight="1" x14ac:dyDescent="0.4"/>
    <row r="269" spans="1:1" ht="15.75" customHeight="1" x14ac:dyDescent="0.4"/>
    <row r="270" spans="1:1" ht="15.75" customHeight="1" x14ac:dyDescent="0.4"/>
    <row r="271" spans="1:1" ht="15.75" customHeight="1" x14ac:dyDescent="0.4"/>
    <row r="272" spans="1:1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</sheetData>
  <phoneticPr fontId="32" type="noConversion"/>
  <conditionalFormatting sqref="B51:M52">
    <cfRule type="expression" dxfId="11" priority="1">
      <formula>$C$49="No"</formula>
    </cfRule>
  </conditionalFormatting>
  <conditionalFormatting sqref="C7:M35 D42:M46">
    <cfRule type="containsBlanks" dxfId="10" priority="3">
      <formula>LEN(TRIM(C7))=0</formula>
    </cfRule>
  </conditionalFormatting>
  <conditionalFormatting sqref="C37:M40">
    <cfRule type="containsBlanks" dxfId="9" priority="5">
      <formula>LEN(TRIM(C37))=0</formula>
    </cfRule>
  </conditionalFormatting>
  <conditionalFormatting sqref="D17:M18">
    <cfRule type="containsBlanks" dxfId="8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6484375" defaultRowHeight="15" customHeight="1" x14ac:dyDescent="0.4"/>
  <cols>
    <col min="1" max="1" width="2.46484375" style="3" customWidth="1"/>
    <col min="2" max="2" width="27" style="3" customWidth="1"/>
    <col min="3" max="5" width="17.46484375" style="3" customWidth="1"/>
    <col min="6" max="6" width="7.46484375" style="3" customWidth="1"/>
    <col min="7" max="7" width="2.19921875" style="3" customWidth="1"/>
    <col min="8" max="8" width="18.46484375" style="3" bestFit="1" customWidth="1"/>
    <col min="9" max="9" width="13.33203125" style="3" bestFit="1" customWidth="1"/>
    <col min="10" max="10" width="4.59765625" style="3" customWidth="1"/>
    <col min="11" max="11" width="38.796875" style="3" customWidth="1"/>
    <col min="12" max="16384" width="12.46484375" style="3"/>
  </cols>
  <sheetData>
    <row r="2" spans="1:11" ht="15" customHeight="1" x14ac:dyDescent="0.4">
      <c r="A2" s="4"/>
      <c r="B2" s="267" t="s">
        <v>81</v>
      </c>
      <c r="C2" s="267"/>
      <c r="D2" s="11"/>
      <c r="E2" s="12"/>
      <c r="F2" s="12"/>
      <c r="G2" s="12"/>
      <c r="H2" s="12"/>
      <c r="I2" s="12"/>
      <c r="K2" s="346" t="s">
        <v>136</v>
      </c>
    </row>
    <row r="3" spans="1:11" ht="15" customHeight="1" x14ac:dyDescent="0.4">
      <c r="B3" s="5" t="s">
        <v>251</v>
      </c>
      <c r="C3" s="6"/>
      <c r="D3" s="273">
        <v>2804928</v>
      </c>
      <c r="E3" s="156" t="str">
        <f>IF((C46-I46)=D3,"", "Error!")</f>
        <v>Error!</v>
      </c>
      <c r="F3" s="6"/>
      <c r="G3" s="6"/>
      <c r="H3" s="274" t="s">
        <v>252</v>
      </c>
      <c r="I3" s="275">
        <v>2803646</v>
      </c>
      <c r="K3" s="74"/>
    </row>
    <row r="4" spans="1:11" ht="15" customHeight="1" x14ac:dyDescent="0.4">
      <c r="B4" s="5" t="s">
        <v>221</v>
      </c>
      <c r="C4" s="6"/>
      <c r="D4" s="276">
        <f>D3-I3</f>
        <v>1282</v>
      </c>
      <c r="E4" s="150"/>
      <c r="F4" s="6"/>
      <c r="G4" s="6"/>
      <c r="H4" s="60" t="s">
        <v>82</v>
      </c>
      <c r="I4" s="91">
        <f>(I3*Dashboard!I12*Data!C4)/Dashboard!I5</f>
        <v>2.4080811779137488</v>
      </c>
      <c r="K4" s="74"/>
    </row>
    <row r="5" spans="1:11" ht="15" customHeight="1" x14ac:dyDescent="0.4">
      <c r="D5" s="6"/>
      <c r="E5" s="23" t="s">
        <v>83</v>
      </c>
      <c r="I5" s="6"/>
      <c r="K5" s="74"/>
    </row>
    <row r="6" spans="1:11" ht="15" customHeight="1" x14ac:dyDescent="0.4">
      <c r="B6" s="58" t="s">
        <v>84</v>
      </c>
      <c r="C6" s="6"/>
      <c r="D6" s="59">
        <f>E46-I46-E50+MIN('FCFF Model'!D4,0)</f>
        <v>1904561.7947338019</v>
      </c>
      <c r="E6" s="14">
        <f>1-D6/D3</f>
        <v>0.32099440886404151</v>
      </c>
      <c r="F6" s="6"/>
      <c r="G6" s="6"/>
      <c r="H6" s="3" t="s">
        <v>312</v>
      </c>
      <c r="I6" s="69">
        <f>C26/I26</f>
        <v>4.2956815471165841</v>
      </c>
      <c r="J6" s="6"/>
      <c r="K6" s="74"/>
    </row>
    <row r="7" spans="1:11" ht="15" customHeight="1" thickBot="1" x14ac:dyDescent="0.45">
      <c r="B7" s="53" t="s">
        <v>85</v>
      </c>
      <c r="D7" s="61">
        <f>MAX((D6*Exchange_Rate*Data!C4)/Dashboard!I5, 0)</f>
        <v>1.6358482526225129</v>
      </c>
      <c r="E7" s="49" t="str">
        <f>Dashboard!J4</f>
        <v>HKD</v>
      </c>
      <c r="H7" s="3" t="s">
        <v>313</v>
      </c>
      <c r="I7" s="69">
        <f>C25/I26</f>
        <v>3.8517555372810004</v>
      </c>
      <c r="J7" s="6"/>
      <c r="K7" s="116"/>
    </row>
    <row r="8" spans="1:11" ht="15" customHeight="1" x14ac:dyDescent="0.4">
      <c r="D8" s="6"/>
      <c r="H8" s="3" t="s">
        <v>314</v>
      </c>
      <c r="I8" s="69">
        <f>C24/I26</f>
        <v>3.2124752885050021</v>
      </c>
      <c r="K8" s="74"/>
    </row>
    <row r="9" spans="1:11" ht="15" customHeight="1" x14ac:dyDescent="0.4">
      <c r="A9" s="4"/>
      <c r="B9" s="268" t="s">
        <v>247</v>
      </c>
      <c r="C9" s="255"/>
      <c r="D9" s="271">
        <v>44926</v>
      </c>
      <c r="E9" s="290" t="s">
        <v>343</v>
      </c>
      <c r="F9" s="133"/>
      <c r="G9" s="133"/>
      <c r="H9" s="133"/>
      <c r="I9" s="133"/>
      <c r="K9" s="74"/>
    </row>
    <row r="10" spans="1:11" ht="15" customHeight="1" x14ac:dyDescent="0.4">
      <c r="B10" s="5" t="s">
        <v>86</v>
      </c>
      <c r="C10" s="23" t="s">
        <v>87</v>
      </c>
      <c r="D10" s="23" t="s">
        <v>88</v>
      </c>
      <c r="E10" s="23" t="s">
        <v>89</v>
      </c>
      <c r="F10" s="30" t="s">
        <v>234</v>
      </c>
      <c r="G10" s="6"/>
      <c r="H10" s="63" t="s">
        <v>90</v>
      </c>
      <c r="I10" s="23" t="s">
        <v>87</v>
      </c>
      <c r="K10" s="74"/>
    </row>
    <row r="11" spans="1:11" ht="15" customHeight="1" x14ac:dyDescent="0.4">
      <c r="B11" s="5" t="s">
        <v>91</v>
      </c>
      <c r="C11" s="64">
        <v>903500</v>
      </c>
      <c r="D11" s="65">
        <v>1</v>
      </c>
      <c r="E11" s="27">
        <f t="shared" ref="E11:E21" si="0">C11*D11</f>
        <v>903500</v>
      </c>
      <c r="F11" s="6"/>
      <c r="G11" s="6"/>
      <c r="H11" s="5" t="s">
        <v>92</v>
      </c>
      <c r="I11" s="64">
        <v>0</v>
      </c>
      <c r="J11" s="6"/>
      <c r="K11" s="74"/>
    </row>
    <row r="12" spans="1:11" ht="13.9" x14ac:dyDescent="0.4">
      <c r="B12" s="3" t="s">
        <v>93</v>
      </c>
      <c r="C12" s="64">
        <v>1455986</v>
      </c>
      <c r="D12" s="65">
        <v>0.98</v>
      </c>
      <c r="E12" s="27">
        <f t="shared" si="0"/>
        <v>1426866.28</v>
      </c>
      <c r="F12" s="6"/>
      <c r="G12" s="6"/>
      <c r="H12" s="5" t="s">
        <v>94</v>
      </c>
      <c r="I12" s="64">
        <v>6202</v>
      </c>
      <c r="J12" s="6"/>
      <c r="K12" s="74"/>
    </row>
    <row r="13" spans="1:11" ht="13.9" x14ac:dyDescent="0.4">
      <c r="B13" s="5" t="s">
        <v>95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96</v>
      </c>
      <c r="I13" s="64">
        <v>0</v>
      </c>
      <c r="J13" s="6"/>
      <c r="K13" s="77"/>
    </row>
    <row r="14" spans="1:11" ht="13.9" x14ac:dyDescent="0.4">
      <c r="B14" s="5" t="s">
        <v>97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98</v>
      </c>
      <c r="I14" s="64">
        <v>0</v>
      </c>
      <c r="J14" s="6"/>
      <c r="K14" s="79"/>
    </row>
    <row r="15" spans="1:11" ht="13.9" x14ac:dyDescent="0.4">
      <c r="B15" s="5" t="s">
        <v>99</v>
      </c>
      <c r="C15" s="64">
        <v>357910</v>
      </c>
      <c r="D15" s="65">
        <v>0.3</v>
      </c>
      <c r="E15" s="27">
        <f t="shared" si="0"/>
        <v>107373</v>
      </c>
      <c r="G15" s="6"/>
      <c r="H15" s="5" t="s">
        <v>100</v>
      </c>
      <c r="I15" s="155">
        <f>I26-SUM(I11:I14)</f>
        <v>728274</v>
      </c>
      <c r="J15" s="6"/>
    </row>
    <row r="16" spans="1:11" ht="13.9" x14ac:dyDescent="0.4">
      <c r="B16" s="3" t="s">
        <v>98</v>
      </c>
      <c r="C16" s="64">
        <v>0</v>
      </c>
      <c r="D16" s="65">
        <v>0.6</v>
      </c>
      <c r="E16" s="27">
        <f t="shared" si="0"/>
        <v>0</v>
      </c>
      <c r="F16" s="204" t="s">
        <v>235</v>
      </c>
      <c r="G16" s="94">
        <f>IF(F16="Y",0,1)</f>
        <v>0</v>
      </c>
      <c r="H16" s="5"/>
      <c r="I16" s="154"/>
      <c r="J16" s="6"/>
    </row>
    <row r="17" spans="2:10" ht="13.9" x14ac:dyDescent="0.4">
      <c r="B17" s="5" t="s">
        <v>101</v>
      </c>
      <c r="C17" s="64">
        <f>97216+14410</f>
        <v>111626</v>
      </c>
      <c r="D17" s="65">
        <v>0.4</v>
      </c>
      <c r="E17" s="27">
        <f t="shared" si="0"/>
        <v>44650.400000000001</v>
      </c>
      <c r="F17" s="6"/>
      <c r="G17" s="6"/>
      <c r="H17" s="5"/>
      <c r="I17" s="154"/>
      <c r="J17" s="6"/>
    </row>
    <row r="18" spans="2:10" ht="13.9" x14ac:dyDescent="0.4">
      <c r="B18" s="5" t="s">
        <v>102</v>
      </c>
      <c r="C18" s="64">
        <v>319177</v>
      </c>
      <c r="D18" s="65">
        <v>0.2</v>
      </c>
      <c r="E18" s="27">
        <f t="shared" si="0"/>
        <v>63835.4</v>
      </c>
      <c r="G18" s="6"/>
    </row>
    <row r="19" spans="2:10" ht="13.9" x14ac:dyDescent="0.4">
      <c r="B19" s="3" t="s">
        <v>103</v>
      </c>
      <c r="C19" s="64">
        <v>0</v>
      </c>
      <c r="D19" s="65">
        <v>0.75</v>
      </c>
      <c r="E19" s="27">
        <f t="shared" si="0"/>
        <v>0</v>
      </c>
      <c r="F19" s="204" t="s">
        <v>235</v>
      </c>
      <c r="G19" s="94">
        <f>IF(F19="Y",0,1)</f>
        <v>0</v>
      </c>
      <c r="H19" s="5"/>
      <c r="I19" s="154"/>
    </row>
    <row r="20" spans="2:10" ht="13.9" x14ac:dyDescent="0.4">
      <c r="B20" s="5" t="s">
        <v>104</v>
      </c>
      <c r="C20" s="64">
        <v>0</v>
      </c>
      <c r="D20" s="65">
        <v>0.6</v>
      </c>
      <c r="E20" s="27">
        <f t="shared" si="0"/>
        <v>0</v>
      </c>
      <c r="F20" s="204" t="s">
        <v>235</v>
      </c>
      <c r="G20" s="94">
        <f>IF(F20="Y",0,1)</f>
        <v>0</v>
      </c>
      <c r="H20" s="5"/>
      <c r="I20" s="154"/>
    </row>
    <row r="21" spans="2:10" ht="13.9" x14ac:dyDescent="0.4">
      <c r="B21" s="5" t="s">
        <v>105</v>
      </c>
      <c r="C21" s="64">
        <v>6876</v>
      </c>
      <c r="D21" s="65">
        <v>0.95</v>
      </c>
      <c r="E21" s="27">
        <f t="shared" si="0"/>
        <v>6532.2</v>
      </c>
      <c r="F21" s="6"/>
      <c r="G21" s="6"/>
      <c r="H21" s="5"/>
      <c r="I21" s="154"/>
    </row>
    <row r="22" spans="2:10" ht="15" customHeight="1" x14ac:dyDescent="0.4">
      <c r="B22" s="5" t="s">
        <v>106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 x14ac:dyDescent="0.4">
      <c r="C23" s="6"/>
      <c r="D23" s="6"/>
      <c r="E23" s="6"/>
      <c r="F23" s="6"/>
      <c r="G23" s="6"/>
    </row>
    <row r="24" spans="2:10" ht="15" customHeight="1" x14ac:dyDescent="0.4">
      <c r="B24" s="66" t="s">
        <v>107</v>
      </c>
      <c r="C24" s="70">
        <f>SUM(C11:C14)</f>
        <v>2359486</v>
      </c>
      <c r="D24" s="68">
        <f>IF(E24=0,0,E24/C24)</f>
        <v>0.98765844764495325</v>
      </c>
      <c r="E24" s="27">
        <f>SUM(E11:E14)</f>
        <v>2330366.2800000003</v>
      </c>
      <c r="F24" s="6"/>
      <c r="G24" s="6"/>
      <c r="H24" s="66" t="s">
        <v>315</v>
      </c>
      <c r="I24" s="69">
        <f>E24/($I$26-I15)</f>
        <v>375.74432118671399</v>
      </c>
      <c r="J24" s="13" t="str">
        <f>IF(I24&lt;1,"Liquidity Problem!","")</f>
        <v/>
      </c>
    </row>
    <row r="25" spans="2:10" ht="15" customHeight="1" x14ac:dyDescent="0.4">
      <c r="B25" s="66" t="s">
        <v>108</v>
      </c>
      <c r="C25" s="70">
        <f>C24+SUM(C15:C17)</f>
        <v>2829022</v>
      </c>
      <c r="D25" s="68">
        <f>IF(E25=0,0,E25/C25)</f>
        <v>0.87747273792851388</v>
      </c>
      <c r="E25" s="27">
        <f>E24+SUM(E15:E17)</f>
        <v>2482389.6800000002</v>
      </c>
      <c r="F25" s="6"/>
      <c r="G25" s="6"/>
      <c r="H25" s="66" t="s">
        <v>319</v>
      </c>
      <c r="I25" s="69">
        <f>E25/$I$26</f>
        <v>3.3798104771292734</v>
      </c>
      <c r="J25" s="13" t="str">
        <f>IF(OR(I25&lt;0.75,C26&lt;I26),"Liquidity Problem!","")</f>
        <v/>
      </c>
    </row>
    <row r="26" spans="2:10" ht="15" customHeight="1" x14ac:dyDescent="0.4">
      <c r="B26" s="5" t="s">
        <v>109</v>
      </c>
      <c r="C26" s="70">
        <f>SUM(C11:C22)</f>
        <v>3155075</v>
      </c>
      <c r="D26" s="14">
        <f t="shared" ref="D26" si="2">E26/C26</f>
        <v>0.80909559360712513</v>
      </c>
      <c r="E26" s="27">
        <f>SUM(E11:E22)</f>
        <v>2552757.2800000003</v>
      </c>
      <c r="H26" s="5" t="s">
        <v>58</v>
      </c>
      <c r="I26" s="64">
        <v>734476</v>
      </c>
      <c r="J26" s="107">
        <f>IF(J24="",1,0)+IF(J25="",1,0)+IF(J44="",1,0)+IF(J45="",1,0)</f>
        <v>4</v>
      </c>
    </row>
    <row r="27" spans="2:10" ht="15" customHeight="1" x14ac:dyDescent="0.4">
      <c r="C27" s="6"/>
      <c r="D27" s="6"/>
      <c r="E27" s="6"/>
      <c r="F27" s="30" t="s">
        <v>234</v>
      </c>
      <c r="G27" s="6"/>
      <c r="I27" s="6"/>
      <c r="J27" s="6"/>
    </row>
    <row r="28" spans="2:10" ht="15" customHeight="1" x14ac:dyDescent="0.4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0</v>
      </c>
      <c r="J28" s="6"/>
    </row>
    <row r="29" spans="2:10" ht="15" customHeight="1" x14ac:dyDescent="0.4">
      <c r="B29" s="5" t="s">
        <v>112</v>
      </c>
      <c r="C29" s="64">
        <v>146031</v>
      </c>
      <c r="D29" s="65">
        <v>0.5</v>
      </c>
      <c r="E29" s="27">
        <f t="shared" ref="E29:E40" si="3">C29*D29</f>
        <v>73015.5</v>
      </c>
      <c r="F29" s="6"/>
      <c r="G29" s="6"/>
      <c r="H29" s="5" t="s">
        <v>113</v>
      </c>
      <c r="I29" s="64">
        <v>10412</v>
      </c>
      <c r="J29" s="6"/>
    </row>
    <row r="30" spans="2:10" ht="15" customHeight="1" x14ac:dyDescent="0.4">
      <c r="B30" s="5" t="s">
        <v>114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116</v>
      </c>
      <c r="I30" s="64">
        <v>0</v>
      </c>
      <c r="J30" s="6"/>
    </row>
    <row r="31" spans="2:10" ht="13.9" x14ac:dyDescent="0.4">
      <c r="B31" s="3" t="s">
        <v>115</v>
      </c>
      <c r="C31" s="64">
        <v>0</v>
      </c>
      <c r="D31" s="65">
        <v>0.5</v>
      </c>
      <c r="E31" s="27">
        <f t="shared" si="3"/>
        <v>0</v>
      </c>
      <c r="F31" s="204" t="s">
        <v>235</v>
      </c>
      <c r="G31" s="94">
        <f>IF(F31="Y",0,1)</f>
        <v>0</v>
      </c>
      <c r="H31" s="3" t="s">
        <v>115</v>
      </c>
      <c r="I31" s="64">
        <v>0</v>
      </c>
      <c r="J31" s="6"/>
    </row>
    <row r="32" spans="2:10" ht="13.9" x14ac:dyDescent="0.4">
      <c r="B32" s="5" t="s">
        <v>117</v>
      </c>
      <c r="C32" s="64">
        <v>0</v>
      </c>
      <c r="D32" s="65">
        <v>0.4</v>
      </c>
      <c r="E32" s="27">
        <f t="shared" si="3"/>
        <v>0</v>
      </c>
      <c r="G32" s="6"/>
      <c r="H32" s="5" t="s">
        <v>118</v>
      </c>
      <c r="I32" s="155">
        <v>18682</v>
      </c>
      <c r="J32" s="6"/>
    </row>
    <row r="33" spans="2:10" ht="13.9" x14ac:dyDescent="0.4">
      <c r="B33" s="5" t="s">
        <v>119</v>
      </c>
      <c r="C33" s="64">
        <v>0</v>
      </c>
      <c r="D33" s="65">
        <v>0.6</v>
      </c>
      <c r="E33" s="220">
        <f t="shared" si="3"/>
        <v>0</v>
      </c>
      <c r="F33" s="204" t="s">
        <v>236</v>
      </c>
      <c r="G33" s="94">
        <f>IF(F33="Y",0,1)</f>
        <v>1</v>
      </c>
      <c r="J33" s="6"/>
    </row>
    <row r="34" spans="2:10" ht="13.9" x14ac:dyDescent="0.4">
      <c r="B34" s="5" t="s">
        <v>120</v>
      </c>
      <c r="C34" s="64">
        <v>0</v>
      </c>
      <c r="D34" s="65">
        <v>0.7</v>
      </c>
      <c r="E34" s="220">
        <f t="shared" si="3"/>
        <v>0</v>
      </c>
      <c r="F34" s="204" t="s">
        <v>235</v>
      </c>
      <c r="G34" s="94">
        <f>IF(F34="Y",0,1)</f>
        <v>0</v>
      </c>
    </row>
    <row r="35" spans="2:10" ht="13.9" x14ac:dyDescent="0.4">
      <c r="B35" s="3" t="s">
        <v>104</v>
      </c>
      <c r="C35" s="64">
        <v>0</v>
      </c>
      <c r="D35" s="65">
        <v>0.4</v>
      </c>
      <c r="E35" s="27">
        <f t="shared" si="3"/>
        <v>0</v>
      </c>
      <c r="F35" s="204" t="s">
        <v>235</v>
      </c>
      <c r="G35" s="94">
        <f>IF(F35="Y",0,1)</f>
        <v>0</v>
      </c>
    </row>
    <row r="36" spans="2:10" ht="15" customHeight="1" x14ac:dyDescent="0.4">
      <c r="B36" s="5" t="s">
        <v>293</v>
      </c>
      <c r="C36" s="64">
        <f>163961+23609+618</f>
        <v>188188</v>
      </c>
      <c r="D36" s="65">
        <v>0.4</v>
      </c>
      <c r="E36" s="27">
        <f t="shared" si="3"/>
        <v>75275.199999999997</v>
      </c>
      <c r="F36" s="6"/>
      <c r="G36" s="6"/>
    </row>
    <row r="37" spans="2:10" ht="13.9" x14ac:dyDescent="0.4">
      <c r="B37" s="5" t="s">
        <v>294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4">
      <c r="B38" s="5" t="s">
        <v>121</v>
      </c>
      <c r="C38" s="64">
        <v>11645</v>
      </c>
      <c r="D38" s="65">
        <v>0.4</v>
      </c>
      <c r="E38" s="27">
        <f t="shared" si="3"/>
        <v>4658</v>
      </c>
      <c r="F38" s="6"/>
      <c r="G38" s="6"/>
    </row>
    <row r="39" spans="2:10" ht="15" customHeight="1" x14ac:dyDescent="0.4">
      <c r="B39" s="5" t="s">
        <v>122</v>
      </c>
      <c r="C39" s="64">
        <v>68064</v>
      </c>
      <c r="D39" s="65">
        <v>0.95</v>
      </c>
      <c r="E39" s="27">
        <f t="shared" si="3"/>
        <v>64660.799999999996</v>
      </c>
      <c r="F39" s="6"/>
      <c r="G39" s="6"/>
    </row>
    <row r="40" spans="2:10" ht="15" customHeight="1" x14ac:dyDescent="0.4">
      <c r="B40" s="5" t="s">
        <v>123</v>
      </c>
      <c r="C40" s="64">
        <v>3925</v>
      </c>
      <c r="D40" s="65">
        <v>0.1</v>
      </c>
      <c r="E40" s="27">
        <f t="shared" si="3"/>
        <v>392.5</v>
      </c>
      <c r="F40" s="6"/>
      <c r="G40" s="6"/>
    </row>
    <row r="41" spans="2:10" ht="15" customHeight="1" x14ac:dyDescent="0.4">
      <c r="C41" s="6"/>
      <c r="D41" s="6"/>
      <c r="E41" s="6"/>
      <c r="I41" s="6"/>
    </row>
    <row r="42" spans="2:10" ht="13.9" x14ac:dyDescent="0.4">
      <c r="B42" s="5" t="s">
        <v>124</v>
      </c>
      <c r="C42" s="67">
        <f>SUM(C28:C40)</f>
        <v>417853</v>
      </c>
      <c r="D42" s="14">
        <f>E42/C42</f>
        <v>0.52171936063639601</v>
      </c>
      <c r="E42" s="27">
        <f>SUM(E28:E40)</f>
        <v>218002</v>
      </c>
      <c r="F42" s="6"/>
      <c r="G42" s="6"/>
      <c r="H42" s="5" t="s">
        <v>125</v>
      </c>
      <c r="I42" s="64">
        <v>15522</v>
      </c>
      <c r="J42" s="6"/>
    </row>
    <row r="43" spans="2:10" ht="15" customHeight="1" x14ac:dyDescent="0.4">
      <c r="C43" s="6"/>
      <c r="D43" s="6"/>
      <c r="E43" s="6"/>
      <c r="I43" s="6"/>
    </row>
    <row r="44" spans="2:10" ht="15" customHeight="1" x14ac:dyDescent="0.4">
      <c r="B44" s="66" t="s">
        <v>126</v>
      </c>
      <c r="C44" s="70">
        <f>C24+SUM(C28:C29)</f>
        <v>2505517</v>
      </c>
      <c r="D44" s="68">
        <f>IF(E44=0,0,E44/C44)</f>
        <v>0.95923587028146295</v>
      </c>
      <c r="E44" s="27">
        <f>E24+SUM(E28:E29)</f>
        <v>2403381.7800000003</v>
      </c>
      <c r="F44" s="6"/>
      <c r="G44" s="6"/>
      <c r="H44" s="66" t="s">
        <v>316</v>
      </c>
      <c r="I44" s="69">
        <f>E44/(I46-I15-I32)</f>
        <v>790.06633136094683</v>
      </c>
      <c r="J44" s="13" t="str">
        <f>IF(I44&lt;1,"Liquidity Problem!","")</f>
        <v/>
      </c>
    </row>
    <row r="45" spans="2:10" ht="15" customHeight="1" x14ac:dyDescent="0.4">
      <c r="B45" s="66" t="s">
        <v>127</v>
      </c>
      <c r="C45" s="70">
        <f>C44+(C25-C24)+SUM(C30:C33)</f>
        <v>2975053</v>
      </c>
      <c r="D45" s="68">
        <f>IF(E45=0,0,E45/C45)</f>
        <v>0.85894442216659672</v>
      </c>
      <c r="E45" s="27">
        <f>E44+(E25-E24)+SUM(E30:E33)</f>
        <v>2555405.1800000002</v>
      </c>
      <c r="F45" s="6"/>
      <c r="G45" s="6"/>
      <c r="H45" s="66" t="s">
        <v>320</v>
      </c>
      <c r="I45" s="69">
        <f>E45/$I$46</f>
        <v>3.4072159925759804</v>
      </c>
      <c r="J45" s="13" t="str">
        <f>IF(OR(I45&lt;0.5,C46&lt;I46),"Liquidity Problem!","")</f>
        <v/>
      </c>
    </row>
    <row r="46" spans="2:10" ht="15" customHeight="1" x14ac:dyDescent="0.4">
      <c r="B46" s="5" t="s">
        <v>128</v>
      </c>
      <c r="C46" s="70">
        <f>C26+C42</f>
        <v>3572928</v>
      </c>
      <c r="D46" s="14">
        <f>E46/C46</f>
        <v>0.77548701793039221</v>
      </c>
      <c r="E46" s="27">
        <f>E26+E42</f>
        <v>2770759.2800000003</v>
      </c>
      <c r="F46" s="6"/>
      <c r="G46" s="6"/>
      <c r="H46" s="5" t="s">
        <v>317</v>
      </c>
      <c r="I46" s="155">
        <f>I26+I42</f>
        <v>749998</v>
      </c>
      <c r="J46" s="6"/>
    </row>
    <row r="47" spans="2:10" ht="15" customHeight="1" x14ac:dyDescent="0.4">
      <c r="C47" s="6"/>
      <c r="D47" s="6"/>
      <c r="E47" s="6"/>
      <c r="I47" s="6"/>
    </row>
    <row r="48" spans="2:10" ht="13.9" x14ac:dyDescent="0.4">
      <c r="B48" s="21" t="s">
        <v>129</v>
      </c>
      <c r="C48" s="21"/>
      <c r="D48" s="52"/>
    </row>
    <row r="49" spans="2:9" ht="13.9" x14ac:dyDescent="0.4">
      <c r="B49" s="216" t="s">
        <v>205</v>
      </c>
      <c r="C49" s="6"/>
      <c r="D49" s="217" t="str">
        <f>IF(E50=D4,"BV of the MI","P/B Approach")</f>
        <v>BV of the MI</v>
      </c>
      <c r="E49" s="6"/>
    </row>
    <row r="50" spans="2:9" ht="13.9" x14ac:dyDescent="0.4">
      <c r="B50" s="5" t="s">
        <v>204</v>
      </c>
      <c r="C50" s="218">
        <f>D4</f>
        <v>1282</v>
      </c>
      <c r="D50" s="214">
        <f>IF(E50=0, 0,E50/C50)</f>
        <v>1</v>
      </c>
      <c r="E50" s="218">
        <f>MAX(C50,C50*Dashboard!I10)</f>
        <v>1282</v>
      </c>
      <c r="I50" s="157"/>
    </row>
    <row r="51" spans="2:9" ht="15" customHeight="1" x14ac:dyDescent="0.4">
      <c r="C51" s="6"/>
      <c r="D51" s="6"/>
      <c r="E51" s="6"/>
    </row>
    <row r="52" spans="2:9" ht="14.25" thickBot="1" x14ac:dyDescent="0.45">
      <c r="B52" s="75" t="s">
        <v>258</v>
      </c>
      <c r="C52" s="5"/>
      <c r="D52" s="448">
        <f>D53+D54+D55</f>
        <v>16614</v>
      </c>
      <c r="E52" s="449"/>
      <c r="F52" s="53"/>
      <c r="G52" s="53"/>
    </row>
    <row r="53" spans="2:9" ht="14.25" thickTop="1" x14ac:dyDescent="0.4">
      <c r="B53" s="58" t="s">
        <v>229</v>
      </c>
      <c r="C53" s="6"/>
      <c r="D53" s="451">
        <f>SUM(I11:I13)+SUM(I28:I30)</f>
        <v>16614</v>
      </c>
      <c r="E53" s="379"/>
      <c r="F53" s="5"/>
      <c r="G53" s="5"/>
      <c r="H53" s="3" t="s">
        <v>318</v>
      </c>
      <c r="I53" s="14">
        <f>D53/I3</f>
        <v>5.9258551186562071E-3</v>
      </c>
    </row>
    <row r="54" spans="2:9" ht="13.9" x14ac:dyDescent="0.4">
      <c r="B54" s="58" t="s">
        <v>131</v>
      </c>
      <c r="C54" s="6"/>
      <c r="D54" s="456">
        <v>0</v>
      </c>
      <c r="E54" s="384"/>
      <c r="F54" s="6" t="s">
        <v>132</v>
      </c>
      <c r="G54" s="6"/>
    </row>
    <row r="55" spans="2:9" ht="12.75" customHeight="1" x14ac:dyDescent="0.4">
      <c r="B55" s="58" t="s">
        <v>130</v>
      </c>
      <c r="C55" s="6"/>
      <c r="D55" s="456">
        <v>0</v>
      </c>
      <c r="E55" s="384"/>
      <c r="F55" s="5" t="s">
        <v>133</v>
      </c>
      <c r="G55" s="5"/>
    </row>
    <row r="56" spans="2:9" ht="15" customHeight="1" x14ac:dyDescent="0.4">
      <c r="D56" s="6"/>
      <c r="E56" s="6"/>
    </row>
    <row r="57" spans="2:9" ht="13.9" x14ac:dyDescent="0.4">
      <c r="B57" s="75" t="s">
        <v>134</v>
      </c>
      <c r="C57" s="5"/>
      <c r="D57" s="450"/>
      <c r="E57" s="450"/>
      <c r="F57" s="19"/>
      <c r="G57" s="19"/>
    </row>
    <row r="58" spans="2:9" ht="15" customHeight="1" x14ac:dyDescent="0.4">
      <c r="B58" s="53" t="s">
        <v>230</v>
      </c>
      <c r="C58" s="213">
        <f>C14+C15+(C19*G19)+(C20*G20)+C29+C30+(C31*G31)+(C33*G33)+(C34*G34)+(C35*G35)</f>
        <v>503941</v>
      </c>
      <c r="D58" s="129">
        <f>IF(E58=0,0,E58/C58)</f>
        <v>0.35795559400802873</v>
      </c>
      <c r="E58" s="221">
        <f>E14+E15+(E19*G19)+(E20*G20)+E29+E30+(E31*G31)+(E33*G33)+(E34*G34)+(E35*G35)</f>
        <v>180388.5</v>
      </c>
      <c r="H58" s="6"/>
    </row>
    <row r="59" spans="2:9" ht="13.9" x14ac:dyDescent="0.4">
      <c r="B59" s="53" t="s">
        <v>91</v>
      </c>
      <c r="C59" s="213">
        <f>C11+C12+C28</f>
        <v>2359486</v>
      </c>
      <c r="D59" s="214">
        <f>IF(E59=0,0,E59/C59)</f>
        <v>0.98765844764495325</v>
      </c>
      <c r="E59" s="215">
        <f>E11+E12+E28</f>
        <v>2330366.2800000003</v>
      </c>
      <c r="F59" s="6"/>
      <c r="G59" s="6"/>
    </row>
    <row r="60" spans="2:9" ht="13.9" x14ac:dyDescent="0.4">
      <c r="B60" s="53" t="s">
        <v>135</v>
      </c>
      <c r="C60" s="6"/>
      <c r="D60" s="454">
        <f>((Dashboard!I6*Data!C4)+D52+E50-C58-C59)</f>
        <v>-485536.01500000013</v>
      </c>
      <c r="E60" s="455"/>
      <c r="F60" s="6"/>
      <c r="G60" s="6"/>
    </row>
    <row r="61" spans="2:9" ht="15" customHeight="1" x14ac:dyDescent="0.4">
      <c r="D61" s="6"/>
      <c r="E61" s="6"/>
    </row>
    <row r="62" spans="2:9" ht="15" customHeight="1" x14ac:dyDescent="0.4">
      <c r="B62" s="291" t="s">
        <v>257</v>
      </c>
    </row>
    <row r="63" spans="2:9" ht="15" customHeight="1" x14ac:dyDescent="0.4">
      <c r="B63" s="3" t="s">
        <v>260</v>
      </c>
      <c r="D63" s="446">
        <f>((C26-C11-C12-C14-C15-C16*G16-C19*G19-C20*G20)-I26)/Data!C7</f>
        <v>-0.16776182102549406</v>
      </c>
      <c r="E63" s="447"/>
    </row>
    <row r="64" spans="2:9" ht="15" customHeight="1" x14ac:dyDescent="0.4">
      <c r="B64" s="3" t="s">
        <v>259</v>
      </c>
      <c r="D64" s="452">
        <v>8.5599999999999996E-2</v>
      </c>
      <c r="E64" s="453"/>
      <c r="F64" s="266" t="s">
        <v>244</v>
      </c>
    </row>
    <row r="65" spans="2:5" ht="15" customHeight="1" x14ac:dyDescent="0.4">
      <c r="B65" s="291" t="s">
        <v>261</v>
      </c>
      <c r="D65" s="452">
        <f>D64</f>
        <v>8.5599999999999996E-2</v>
      </c>
      <c r="E65" s="453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2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3"/>
  <sheetViews>
    <sheetView showGridLines="0" zoomScaleNormal="100" zoomScalePageLayoutView="80" workbookViewId="0">
      <selection activeCell="E11" sqref="E11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3" width="22.59765625" style="3" customWidth="1"/>
    <col min="4" max="4" width="6.796875" style="3" customWidth="1"/>
    <col min="5" max="5" width="22.59765625" style="3" customWidth="1"/>
    <col min="6" max="6" width="6.796875" style="3" customWidth="1"/>
    <col min="7" max="7" width="22.59765625" style="3" customWidth="1"/>
    <col min="8" max="8" width="6.796875" style="3" customWidth="1"/>
    <col min="9" max="9" width="22.59765625" style="3" customWidth="1"/>
    <col min="10" max="10" width="6.796875" style="3" customWidth="1"/>
    <col min="11" max="11" width="2.46484375" style="3" customWidth="1"/>
    <col min="12" max="12" width="87.46484375" style="3" customWidth="1"/>
    <col min="13" max="16384" width="12.46484375" style="3"/>
  </cols>
  <sheetData>
    <row r="1" spans="1:13" ht="15" customHeight="1" x14ac:dyDescent="0.4">
      <c r="C1" s="6"/>
      <c r="D1" s="6"/>
      <c r="E1" s="6"/>
      <c r="F1" s="6"/>
      <c r="G1" s="6"/>
      <c r="H1" s="6"/>
    </row>
    <row r="2" spans="1:13" ht="15.5" customHeight="1" x14ac:dyDescent="0.4">
      <c r="A2" s="4"/>
      <c r="B2" s="92" t="s">
        <v>241</v>
      </c>
      <c r="C2" s="285" t="s">
        <v>255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4">
      <c r="B3" s="29" t="str">
        <f>'FCFF Model'!B3</f>
        <v>(Numbers in 1000CNY)</v>
      </c>
      <c r="C3" s="277">
        <f>Dashboard!E6</f>
        <v>44926</v>
      </c>
      <c r="D3" s="28" t="s">
        <v>243</v>
      </c>
      <c r="E3" s="277">
        <f>EOMONTH(EDATE(C3,12),0)</f>
        <v>45291</v>
      </c>
      <c r="F3" s="28" t="s">
        <v>243</v>
      </c>
      <c r="G3" s="277" t="str">
        <f>IF(G9="","",EOMONTH(EDATE(E3,12),0))</f>
        <v/>
      </c>
      <c r="H3" s="28"/>
      <c r="I3" s="277" t="str">
        <f>IF(I16="","",EOMONTH(EDATE(G3,12),0))</f>
        <v/>
      </c>
      <c r="J3" s="296"/>
      <c r="L3" s="72" t="s">
        <v>136</v>
      </c>
    </row>
    <row r="4" spans="1:13" ht="15.75" customHeight="1" x14ac:dyDescent="0.4">
      <c r="B4" s="292" t="s">
        <v>344</v>
      </c>
      <c r="C4" s="293">
        <v>1296901</v>
      </c>
      <c r="D4" s="260">
        <f>C4/$C$8</f>
        <v>0.89925557865307992</v>
      </c>
      <c r="E4" s="293">
        <f>C4*0.8</f>
        <v>1037520.8</v>
      </c>
      <c r="F4" s="260">
        <f>E4/E$8</f>
        <v>0.89135506019640331</v>
      </c>
      <c r="G4" s="222"/>
      <c r="H4" s="260"/>
      <c r="I4" s="222"/>
      <c r="J4" s="286"/>
      <c r="K4" s="6"/>
      <c r="L4" s="74"/>
      <c r="M4" s="57"/>
    </row>
    <row r="5" spans="1:13" ht="15.75" customHeight="1" x14ac:dyDescent="0.4">
      <c r="B5" s="292" t="s">
        <v>345</v>
      </c>
      <c r="C5" s="293">
        <v>64283</v>
      </c>
      <c r="D5" s="260">
        <f t="shared" ref="D5:D7" si="0">C5/$C$8</f>
        <v>4.4573060212426345E-2</v>
      </c>
      <c r="E5" s="293">
        <f>C5*0.6</f>
        <v>38569.799999999996</v>
      </c>
      <c r="F5" s="260">
        <f t="shared" ref="F5:F7" si="1">E5/E$8</f>
        <v>3.3136093657845929E-2</v>
      </c>
      <c r="G5" s="222"/>
      <c r="H5" s="260"/>
      <c r="I5" s="222"/>
      <c r="J5" s="286"/>
      <c r="K5" s="6"/>
      <c r="L5" s="74"/>
      <c r="M5" s="57"/>
    </row>
    <row r="6" spans="1:13" ht="15.75" customHeight="1" x14ac:dyDescent="0.4">
      <c r="B6" s="292" t="s">
        <v>346</v>
      </c>
      <c r="C6" s="293">
        <v>76943</v>
      </c>
      <c r="D6" s="260">
        <f t="shared" si="0"/>
        <v>5.3351352175920852E-2</v>
      </c>
      <c r="E6" s="293">
        <f>C6*1.1</f>
        <v>84637.3</v>
      </c>
      <c r="F6" s="260">
        <f t="shared" si="1"/>
        <v>7.2713612716353293E-2</v>
      </c>
      <c r="G6" s="222"/>
      <c r="H6" s="260"/>
      <c r="I6" s="222"/>
      <c r="J6" s="286"/>
      <c r="K6" s="6"/>
      <c r="L6" s="74"/>
      <c r="M6" s="57"/>
    </row>
    <row r="7" spans="1:13" ht="15.75" customHeight="1" x14ac:dyDescent="0.4">
      <c r="B7" s="292" t="s">
        <v>347</v>
      </c>
      <c r="C7" s="293">
        <v>4067</v>
      </c>
      <c r="D7" s="260">
        <f t="shared" si="0"/>
        <v>2.820008958572841E-3</v>
      </c>
      <c r="E7" s="293">
        <f>C7*0.8</f>
        <v>3253.6000000000004</v>
      </c>
      <c r="F7" s="260">
        <f t="shared" si="1"/>
        <v>2.7952334293972884E-3</v>
      </c>
      <c r="G7" s="222"/>
      <c r="H7" s="260"/>
      <c r="I7" s="222"/>
      <c r="J7" s="286"/>
      <c r="K7" s="6"/>
      <c r="L7" s="74"/>
      <c r="M7" s="57"/>
    </row>
    <row r="8" spans="1:13" ht="15.75" customHeight="1" x14ac:dyDescent="0.4">
      <c r="B8" s="5" t="s">
        <v>138</v>
      </c>
      <c r="C8" s="180">
        <f>SUM(C4:C7)</f>
        <v>1442194</v>
      </c>
      <c r="D8" s="259"/>
      <c r="E8" s="337">
        <f>SUM(E4:E7)</f>
        <v>1163981.5000000002</v>
      </c>
      <c r="F8" s="259"/>
      <c r="G8" s="337"/>
      <c r="H8" s="259"/>
      <c r="I8" s="228"/>
      <c r="J8" s="287"/>
      <c r="K8" s="6"/>
      <c r="L8" s="74" t="s">
        <v>262</v>
      </c>
      <c r="M8" s="57"/>
    </row>
    <row r="9" spans="1:13" ht="15.75" customHeight="1" x14ac:dyDescent="0.4">
      <c r="B9" s="17" t="s">
        <v>137</v>
      </c>
      <c r="C9" s="187"/>
      <c r="D9" s="261"/>
      <c r="E9" s="18">
        <f>E8/C8-1</f>
        <v>-0.19290920638970888</v>
      </c>
      <c r="F9" s="261"/>
      <c r="G9" s="73"/>
      <c r="H9" s="261"/>
      <c r="I9" s="73"/>
      <c r="J9" s="327"/>
      <c r="K9" s="6"/>
      <c r="L9" s="74"/>
      <c r="M9" s="57"/>
    </row>
    <row r="10" spans="1:13" ht="15.75" customHeight="1" x14ac:dyDescent="0.4">
      <c r="B10" s="8" t="s">
        <v>139</v>
      </c>
      <c r="C10" s="181">
        <v>842386</v>
      </c>
      <c r="D10" s="262"/>
      <c r="E10" s="227">
        <f>E8*(1-E11)</f>
        <v>679881.98526619875</v>
      </c>
      <c r="F10" s="262"/>
      <c r="G10" s="281" t="str">
        <f>IF(G8="","",G8*(1-G11))</f>
        <v/>
      </c>
      <c r="H10" s="262"/>
      <c r="I10" s="281" t="str">
        <f>IF(I8="","",I8*(1-I11))</f>
        <v/>
      </c>
      <c r="J10" s="328"/>
      <c r="K10" s="6"/>
      <c r="L10" s="116"/>
      <c r="M10" s="1"/>
    </row>
    <row r="11" spans="1:13" ht="15.75" customHeight="1" x14ac:dyDescent="0.4">
      <c r="B11" s="17" t="s">
        <v>48</v>
      </c>
      <c r="C11" s="186">
        <f>(C8-C10)/C8</f>
        <v>0.41589966398417966</v>
      </c>
      <c r="D11" s="186"/>
      <c r="E11" s="73">
        <f>C11</f>
        <v>0.41589966398417966</v>
      </c>
      <c r="F11" s="186"/>
      <c r="G11" s="73"/>
      <c r="H11" s="186"/>
      <c r="I11" s="73"/>
      <c r="J11" s="329"/>
      <c r="K11" s="6"/>
      <c r="L11" s="74"/>
    </row>
    <row r="12" spans="1:13" ht="15.75" customHeight="1" x14ac:dyDescent="0.4">
      <c r="B12" s="5" t="s">
        <v>140</v>
      </c>
      <c r="C12" s="27">
        <f>C8-C10</f>
        <v>599808</v>
      </c>
      <c r="D12" s="27"/>
      <c r="E12" s="27">
        <f>E8-E10</f>
        <v>484099.51473380148</v>
      </c>
      <c r="F12" s="27"/>
      <c r="G12" s="27" t="str">
        <f>IF(G9="","",G8-G10)</f>
        <v/>
      </c>
      <c r="H12" s="27"/>
      <c r="I12" s="27" t="str">
        <f>IF(I9="","",I8-I10)</f>
        <v/>
      </c>
      <c r="J12" s="242"/>
      <c r="K12" s="6"/>
      <c r="L12" s="74"/>
    </row>
    <row r="13" spans="1:13" ht="15.75" customHeight="1" x14ac:dyDescent="0.4">
      <c r="B13" s="17" t="s">
        <v>50</v>
      </c>
      <c r="C13" s="189">
        <f>C14/C8</f>
        <v>0.41535119408345894</v>
      </c>
      <c r="D13" s="189"/>
      <c r="E13" s="226">
        <f>E14/E8</f>
        <v>0.51462759502620947</v>
      </c>
      <c r="F13" s="189"/>
      <c r="G13" s="65"/>
      <c r="H13" s="189"/>
      <c r="I13" s="65"/>
      <c r="J13" s="330"/>
      <c r="K13" s="6"/>
      <c r="L13" s="74"/>
    </row>
    <row r="14" spans="1:13" ht="15.75" customHeight="1" x14ac:dyDescent="0.4">
      <c r="B14" s="8" t="s">
        <v>141</v>
      </c>
      <c r="C14" s="183">
        <f>435254+163763</f>
        <v>599017</v>
      </c>
      <c r="D14" s="263"/>
      <c r="E14" s="76">
        <f>C14</f>
        <v>599017</v>
      </c>
      <c r="F14" s="263"/>
      <c r="G14" s="76"/>
      <c r="H14" s="263"/>
      <c r="I14" s="76"/>
      <c r="J14" s="331"/>
      <c r="K14" s="6"/>
      <c r="L14" s="74"/>
    </row>
    <row r="15" spans="1:13" ht="15.75" customHeight="1" x14ac:dyDescent="0.4">
      <c r="B15" s="17" t="s">
        <v>51</v>
      </c>
      <c r="C15" s="18">
        <f>C17/C8</f>
        <v>5.4846990072070743E-4</v>
      </c>
      <c r="D15" s="18"/>
      <c r="E15" s="18">
        <f>E17/E8</f>
        <v>-9.8727931042029871E-2</v>
      </c>
      <c r="F15" s="18"/>
      <c r="G15" s="18" t="str">
        <f>IF(G9="","",G17/G8)</f>
        <v/>
      </c>
      <c r="H15" s="18"/>
      <c r="I15" s="18" t="str">
        <f>IF(I9="","",I17/I8)</f>
        <v/>
      </c>
      <c r="J15" s="231"/>
      <c r="K15" s="6"/>
      <c r="L15" s="74"/>
      <c r="M15" s="57"/>
    </row>
    <row r="16" spans="1:13" ht="15.75" customHeight="1" x14ac:dyDescent="0.4">
      <c r="B16" s="17" t="s">
        <v>142</v>
      </c>
      <c r="C16" s="188"/>
      <c r="D16" s="264"/>
      <c r="E16" s="14" t="str">
        <f>IF(ABS(C17+E17)=ABS(C17)+ABS(E17),IF(E17&lt;0,-1,1)*(E17-C17)/C17,"Turn")</f>
        <v>Turn</v>
      </c>
      <c r="F16" s="264"/>
      <c r="G16" s="14" t="str">
        <f>IF(G9="","",IF(ABS(E17+G17)=ABS(E17)+ABS(G17),IF(G17&lt;0,-1,1)*(G17-E17)/E17,"Turn"))</f>
        <v/>
      </c>
      <c r="H16" s="264"/>
      <c r="I16" s="14" t="str">
        <f>IF(I9="","",IF(ABS(G17+I17)=ABS(G17)+ABS(I17),IF(I17&lt;0,-1,1)*(I17-G17)/G17,"Turn"))</f>
        <v/>
      </c>
      <c r="J16" s="332"/>
      <c r="K16" s="6"/>
      <c r="L16" s="77"/>
      <c r="M16" s="78"/>
    </row>
    <row r="17" spans="2:13" ht="15.75" customHeight="1" x14ac:dyDescent="0.4">
      <c r="B17" s="134" t="s">
        <v>239</v>
      </c>
      <c r="C17" s="319">
        <f>C12-C14</f>
        <v>791</v>
      </c>
      <c r="D17" s="320"/>
      <c r="E17" s="319">
        <f>E12-E14</f>
        <v>-114917.48526619852</v>
      </c>
      <c r="F17" s="320"/>
      <c r="G17" s="319" t="str">
        <f>IF(G9="","",G12-G14)</f>
        <v/>
      </c>
      <c r="H17" s="320"/>
      <c r="I17" s="319" t="str">
        <f>IF(I9="","",I12-I14)</f>
        <v/>
      </c>
      <c r="J17" s="333"/>
      <c r="K17" s="6"/>
      <c r="L17" s="79"/>
      <c r="M17" s="56"/>
    </row>
    <row r="18" spans="2:13" ht="15.75" customHeight="1" x14ac:dyDescent="0.4">
      <c r="B18" s="315" t="s">
        <v>143</v>
      </c>
      <c r="C18" s="316">
        <v>0.25</v>
      </c>
      <c r="D18" s="317"/>
      <c r="E18" s="318">
        <f>IF(E17="","",C18)</f>
        <v>0.25</v>
      </c>
      <c r="F18" s="318"/>
      <c r="G18" s="318" t="str">
        <f>IF(G17="","",E18)</f>
        <v/>
      </c>
      <c r="H18" s="318"/>
      <c r="I18" s="318" t="str">
        <f>IF(I17="","",G18)</f>
        <v/>
      </c>
      <c r="J18" s="334"/>
    </row>
    <row r="19" spans="2:13" ht="15.75" customHeight="1" x14ac:dyDescent="0.4">
      <c r="B19" s="324" t="s">
        <v>296</v>
      </c>
      <c r="C19" s="264">
        <f>C20/C10</f>
        <v>7.0424959579100312E-4</v>
      </c>
      <c r="D19" s="326"/>
      <c r="E19" s="325">
        <f>E20/E10</f>
        <v>-0.16902563644366031</v>
      </c>
      <c r="F19" s="325"/>
      <c r="G19" s="325" t="str">
        <f>IF(G10="","",G20/G10)</f>
        <v/>
      </c>
      <c r="H19" s="325"/>
      <c r="I19" s="325" t="str">
        <f>IF(I10="","",I20/I10)</f>
        <v/>
      </c>
      <c r="J19" s="335"/>
    </row>
    <row r="20" spans="2:13" ht="15.75" customHeight="1" x14ac:dyDescent="0.4">
      <c r="B20" s="321" t="s">
        <v>80</v>
      </c>
      <c r="C20" s="322">
        <f>IF(C17&lt;=0,C17,C17*(1-C18))</f>
        <v>593.25</v>
      </c>
      <c r="D20" s="322"/>
      <c r="E20" s="323">
        <f>IF(E17="","",IF(E17&lt;=0,E17,E17*(1-E18)))</f>
        <v>-114917.48526619852</v>
      </c>
      <c r="F20" s="322"/>
      <c r="G20" s="323" t="str">
        <f>IF(G17="","",IF(G17&lt;=0,G17,G17*(1-G18)))</f>
        <v/>
      </c>
      <c r="H20" s="322"/>
      <c r="I20" s="323" t="str">
        <f>IF(I17="","",IF(I17&lt;=0,I17,I17*(1-I18)))</f>
        <v/>
      </c>
      <c r="J20" s="336"/>
    </row>
    <row r="21" spans="2:13" ht="15.75" customHeight="1" x14ac:dyDescent="0.4"/>
    <row r="22" spans="2:13" ht="15.75" customHeight="1" x14ac:dyDescent="0.4"/>
    <row r="23" spans="2:13" ht="15.75" customHeight="1" x14ac:dyDescent="0.4"/>
    <row r="24" spans="2:13" ht="15.75" customHeight="1" x14ac:dyDescent="0.4"/>
    <row r="25" spans="2:13" ht="15.75" customHeight="1" x14ac:dyDescent="0.4"/>
    <row r="26" spans="2:13" ht="15.75" customHeight="1" x14ac:dyDescent="0.4"/>
    <row r="27" spans="2:13" ht="15.75" customHeight="1" x14ac:dyDescent="0.4"/>
    <row r="28" spans="2:13" ht="15.75" customHeight="1" x14ac:dyDescent="0.4"/>
    <row r="29" spans="2:13" ht="15.75" customHeight="1" x14ac:dyDescent="0.4"/>
    <row r="30" spans="2:13" ht="15.75" customHeight="1" x14ac:dyDescent="0.4"/>
    <row r="31" spans="2:13" ht="15.75" customHeight="1" x14ac:dyDescent="0.4"/>
    <row r="32" spans="2:13" ht="15.75" customHeight="1" x14ac:dyDescent="0.4"/>
    <row r="33" ht="15.75" customHeight="1" x14ac:dyDescent="0.4"/>
    <row r="34" ht="15.75" customHeight="1" x14ac:dyDescent="0.4"/>
    <row r="35" ht="15.75" customHeight="1" x14ac:dyDescent="0.4"/>
    <row r="36" ht="15.75" customHeight="1" x14ac:dyDescent="0.4"/>
    <row r="37" ht="15.75" customHeight="1" x14ac:dyDescent="0.4"/>
    <row r="38" ht="15.75" customHeight="1" x14ac:dyDescent="0.4"/>
    <row r="39" ht="15.75" customHeight="1" x14ac:dyDescent="0.4"/>
    <row r="40" ht="15.75" customHeight="1" x14ac:dyDescent="0.4"/>
    <row r="41" ht="15.75" customHeight="1" x14ac:dyDescent="0.4"/>
    <row r="42" ht="15.75" customHeight="1" x14ac:dyDescent="0.4"/>
    <row r="43" ht="15.75" customHeight="1" x14ac:dyDescent="0.4"/>
    <row r="44" ht="15.75" customHeight="1" x14ac:dyDescent="0.4"/>
    <row r="45" ht="15.75" customHeight="1" x14ac:dyDescent="0.4"/>
    <row r="46" ht="15.75" customHeight="1" x14ac:dyDescent="0.4"/>
    <row r="47" ht="15.75" customHeight="1" x14ac:dyDescent="0.4"/>
    <row r="48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</sheetData>
  <phoneticPr fontId="32" type="noConversion"/>
  <conditionalFormatting sqref="E18:E20">
    <cfRule type="containsBlanks" dxfId="7" priority="2">
      <formula>LEN(TRIM(E18))=0</formula>
    </cfRule>
  </conditionalFormatting>
  <conditionalFormatting sqref="G20 I20">
    <cfRule type="containsBlanks" dxfId="6" priority="4">
      <formula>LEN(TRIM(G20))=0</formula>
    </cfRule>
  </conditionalFormatting>
  <conditionalFormatting sqref="G9:H13 G15:H17 H14">
    <cfRule type="containsBlanks" dxfId="5" priority="10">
      <formula>LEN(TRIM(G9))=0</formula>
    </cfRule>
    <cfRule type="containsBlanks" priority="11">
      <formula>LEN(TRIM(G9))=0</formula>
    </cfRule>
  </conditionalFormatting>
  <conditionalFormatting sqref="G9:J20">
    <cfRule type="containsBlanks" dxfId="4" priority="1">
      <formula>LEN(TRIM(G9))=0</formula>
    </cfRule>
  </conditionalFormatting>
  <conditionalFormatting sqref="I9:J17">
    <cfRule type="containsBlanks" dxfId="3" priority="6">
      <formula>LEN(TRIM(I9))=0</formula>
    </cfRule>
    <cfRule type="containsBlanks" priority="7">
      <formula>LEN(TRIM(I9))=0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zoomScaleNormal="100" zoomScalePageLayoutView="80" workbookViewId="0">
      <selection activeCell="B37" sqref="B37"/>
    </sheetView>
  </sheetViews>
  <sheetFormatPr defaultColWidth="12.46484375" defaultRowHeight="15" customHeight="1" x14ac:dyDescent="0.4"/>
  <cols>
    <col min="1" max="1" width="2.46484375" style="3" customWidth="1"/>
    <col min="2" max="2" width="26.796875" style="3" customWidth="1"/>
    <col min="3" max="7" width="22.59765625" style="3" customWidth="1"/>
    <col min="8" max="8" width="2.46484375" style="3" customWidth="1"/>
    <col min="9" max="9" width="49.46484375" style="3" customWidth="1"/>
    <col min="10" max="16384" width="12.46484375" style="3"/>
  </cols>
  <sheetData>
    <row r="1" spans="1:10" ht="15" customHeight="1" x14ac:dyDescent="0.4">
      <c r="C1" s="6"/>
      <c r="D1" s="6"/>
      <c r="E1" s="6"/>
    </row>
    <row r="2" spans="1:10" ht="15.75" customHeight="1" x14ac:dyDescent="0.4">
      <c r="A2" s="4"/>
      <c r="B2" s="92" t="s">
        <v>220</v>
      </c>
      <c r="C2" s="285" t="s">
        <v>255</v>
      </c>
      <c r="D2" s="285">
        <v>1</v>
      </c>
      <c r="E2" s="285">
        <v>2</v>
      </c>
      <c r="F2" s="285">
        <v>3</v>
      </c>
      <c r="G2" s="285" t="str">
        <f>B24</f>
        <v>Exit after Year 1</v>
      </c>
      <c r="H2" s="12"/>
      <c r="I2" s="12"/>
    </row>
    <row r="3" spans="1:10" ht="15.75" customHeight="1" x14ac:dyDescent="0.4">
      <c r="B3" s="29" t="str">
        <f>"(Numbers in "&amp;Data!C4&amp;Dashboard!I11&amp;")"</f>
        <v>(Numbers in 1000CNY)</v>
      </c>
      <c r="C3" s="277">
        <f>Operation!C3</f>
        <v>44926</v>
      </c>
      <c r="D3" s="277">
        <f>Operation!E3</f>
        <v>45291</v>
      </c>
      <c r="E3" s="277" t="str">
        <f>Operation!G3</f>
        <v/>
      </c>
      <c r="F3" s="277" t="str">
        <f>Operation!I3</f>
        <v/>
      </c>
      <c r="G3" s="28" t="s">
        <v>253</v>
      </c>
      <c r="I3" s="72" t="s">
        <v>136</v>
      </c>
    </row>
    <row r="4" spans="1:10" ht="15.75" customHeight="1" x14ac:dyDescent="0.4">
      <c r="B4" s="5" t="s">
        <v>80</v>
      </c>
      <c r="C4" s="182">
        <f>Operation!C20</f>
        <v>593.25</v>
      </c>
      <c r="D4" s="45">
        <f>Operation!E20</f>
        <v>-114917.48526619852</v>
      </c>
      <c r="E4" s="45" t="str">
        <f>Operation!G20</f>
        <v/>
      </c>
      <c r="F4" s="201" t="str">
        <f>Operation!I20</f>
        <v/>
      </c>
      <c r="G4" s="303">
        <f>IF(F3="",IF(E3="",1,2),3)</f>
        <v>1</v>
      </c>
      <c r="H4" s="6"/>
      <c r="I4" s="79"/>
      <c r="J4" s="56"/>
    </row>
    <row r="5" spans="1:10" ht="15.75" customHeight="1" x14ac:dyDescent="0.4">
      <c r="B5" s="17" t="s">
        <v>268</v>
      </c>
      <c r="C5" s="257"/>
      <c r="D5" s="258">
        <f>D4/C4-1</f>
        <v>-194.70836117353312</v>
      </c>
      <c r="E5" s="258" t="str">
        <f>IF(E4="","",E4/D4-1)</f>
        <v/>
      </c>
      <c r="F5" s="258" t="str">
        <f>IF(F4="","",F4/E4-1)</f>
        <v/>
      </c>
      <c r="G5" s="198"/>
      <c r="H5" s="6"/>
      <c r="I5" s="79"/>
      <c r="J5" s="56"/>
    </row>
    <row r="6" spans="1:10" ht="15.75" customHeight="1" x14ac:dyDescent="0.4">
      <c r="B6" s="17" t="s">
        <v>68</v>
      </c>
      <c r="C6" s="65">
        <f>Data!C35</f>
        <v>0.42808178207371606</v>
      </c>
      <c r="D6" s="226">
        <v>0.38619999999999999</v>
      </c>
      <c r="E6" s="65"/>
      <c r="F6" s="308"/>
      <c r="G6" s="199"/>
      <c r="H6" s="6"/>
      <c r="I6" s="77"/>
    </row>
    <row r="7" spans="1:10" ht="15" customHeight="1" thickBot="1" x14ac:dyDescent="0.45">
      <c r="B7" s="81" t="s">
        <v>263</v>
      </c>
      <c r="C7" s="309">
        <f>C4*C6</f>
        <v>253.95951721523204</v>
      </c>
      <c r="D7" s="309">
        <f>D4*D6</f>
        <v>-44381.132809805866</v>
      </c>
      <c r="E7" s="310"/>
      <c r="F7" s="310"/>
      <c r="G7" s="200"/>
      <c r="H7" s="82"/>
      <c r="I7" s="56"/>
      <c r="J7" s="56"/>
    </row>
    <row r="8" spans="1:10" ht="15.75" customHeight="1" thickTop="1" x14ac:dyDescent="0.4">
      <c r="B8" s="17" t="s">
        <v>144</v>
      </c>
      <c r="C8" s="192">
        <f>IF(C4="","",C4-C7)</f>
        <v>339.29048278476796</v>
      </c>
      <c r="D8" s="191">
        <f>D4-D7</f>
        <v>-70536.352456392662</v>
      </c>
      <c r="E8" s="191" t="str">
        <f>IF(E4="","",E4-E7)</f>
        <v/>
      </c>
      <c r="F8" s="191" t="str">
        <f>IF(F4="","",F4-F7)</f>
        <v/>
      </c>
      <c r="G8" s="229">
        <f>IF(F4="",IF(E4="",D8,E8),F8)</f>
        <v>-70536.352456392662</v>
      </c>
      <c r="H8" s="82"/>
      <c r="I8" s="56"/>
      <c r="J8" s="56"/>
    </row>
    <row r="9" spans="1:10" ht="15.75" customHeight="1" x14ac:dyDescent="0.4">
      <c r="B9" s="203" t="s">
        <v>213</v>
      </c>
      <c r="C9" s="193">
        <f>C8/(Common_Shares/Data!$C$4)</f>
        <v>2.54468402833932E-4</v>
      </c>
      <c r="D9" s="305">
        <f>D8/(Common_Shares/Data!$C$4)</f>
        <v>-5.2902376759845111E-2</v>
      </c>
      <c r="E9" s="305" t="str">
        <f>IF(E8="","",E8/(Common_Shares/Data!$C$4))</f>
        <v/>
      </c>
      <c r="F9" s="305" t="str">
        <f>IF(F8="","",F8/(Common_Shares/Data!$C$4))</f>
        <v/>
      </c>
      <c r="G9" s="306">
        <f>G8*Data!C$4/Dashboard!I5</f>
        <v>-5.2902376759845111E-2</v>
      </c>
      <c r="H9" s="82"/>
      <c r="I9" s="56"/>
      <c r="J9" s="56"/>
    </row>
    <row r="10" spans="1:10" ht="15.75" customHeight="1" x14ac:dyDescent="0.4">
      <c r="B10" s="234" t="s">
        <v>240</v>
      </c>
      <c r="C10" s="311">
        <f>C11/C9</f>
        <v>0</v>
      </c>
      <c r="D10" s="311">
        <f>D11/D9</f>
        <v>-4.1586033270056832</v>
      </c>
      <c r="E10" s="343"/>
      <c r="F10" s="343"/>
      <c r="G10" s="235"/>
      <c r="H10" s="82"/>
      <c r="I10" s="56"/>
      <c r="J10" s="56"/>
    </row>
    <row r="11" spans="1:10" ht="15.75" customHeight="1" x14ac:dyDescent="0.4">
      <c r="B11" s="234" t="s">
        <v>254</v>
      </c>
      <c r="C11" s="283">
        <v>0</v>
      </c>
      <c r="D11" s="284">
        <v>0.22</v>
      </c>
      <c r="E11" s="344"/>
      <c r="F11" s="344"/>
      <c r="G11" s="282"/>
      <c r="H11" s="82"/>
      <c r="I11" s="56"/>
      <c r="J11" s="56"/>
    </row>
    <row r="12" spans="1:10" ht="15.75" customHeight="1" x14ac:dyDescent="0.4">
      <c r="B12" s="19" t="s">
        <v>269</v>
      </c>
      <c r="C12" s="236">
        <v>0</v>
      </c>
      <c r="D12" s="236">
        <v>0.22</v>
      </c>
      <c r="E12" s="345"/>
      <c r="F12" s="345"/>
      <c r="G12" s="230">
        <f>IF(G9&lt;0,G9,G9*D27)</f>
        <v>-5.2902376759845111E-2</v>
      </c>
      <c r="H12" s="82"/>
      <c r="I12" s="56"/>
      <c r="J12" s="56"/>
    </row>
    <row r="13" spans="1:10" ht="15.75" customHeight="1" x14ac:dyDescent="0.4">
      <c r="B13" s="17" t="s">
        <v>145</v>
      </c>
      <c r="C13" s="190"/>
      <c r="D13" s="223">
        <f ca="1">Dashboard!C12</f>
        <v>0.08</v>
      </c>
      <c r="E13" s="18" t="str">
        <f>IF(E4="","",D13)</f>
        <v/>
      </c>
      <c r="F13" s="18" t="str">
        <f>IF(F4="","",D13)</f>
        <v/>
      </c>
      <c r="G13" s="231">
        <f ca="1">Dashboard!C12</f>
        <v>0.08</v>
      </c>
      <c r="H13" s="62"/>
      <c r="I13" s="57"/>
      <c r="J13" s="57"/>
    </row>
    <row r="14" spans="1:10" ht="15.75" customHeight="1" thickBot="1" x14ac:dyDescent="0.45">
      <c r="B14" s="83" t="s">
        <v>146</v>
      </c>
      <c r="C14" s="114"/>
      <c r="D14" s="224">
        <f ca="1">IF(D4="","",1+D13)</f>
        <v>1.08</v>
      </c>
      <c r="E14" s="225" t="str">
        <f>IF(E4="","",(1+D13)*(1+E13))</f>
        <v/>
      </c>
      <c r="F14" s="225" t="str">
        <f>IF(F4="","",(1+D13)*(1+E13)*(1+F13))</f>
        <v/>
      </c>
      <c r="G14" s="232">
        <f ca="1">IF(F4="",IF(E4="",D14,E14),F14)*(1+G13)</f>
        <v>1.1664000000000001</v>
      </c>
      <c r="H14" s="62"/>
      <c r="I14" s="57"/>
      <c r="J14" s="57"/>
    </row>
    <row r="15" spans="1:10" ht="15.75" customHeight="1" thickTop="1" x14ac:dyDescent="0.4">
      <c r="B15" s="8" t="s">
        <v>292</v>
      </c>
      <c r="C15" s="237">
        <f>C12</f>
        <v>0</v>
      </c>
      <c r="D15" s="195">
        <f ca="1">IF(D12="","",MAX(D9-D11+D12,D12)/D14)</f>
        <v>0.20370370370370369</v>
      </c>
      <c r="E15" s="196" t="str">
        <f>IF(E9="","",E9/E14)</f>
        <v/>
      </c>
      <c r="F15" s="196" t="str">
        <f>IF(F9="","",F9/F14)</f>
        <v/>
      </c>
      <c r="G15" s="233">
        <f ca="1">IF(G12=0,0,G12/G14)</f>
        <v>-4.5355261282446081E-2</v>
      </c>
      <c r="H15" s="80"/>
      <c r="I15" s="56"/>
      <c r="J15" s="56"/>
    </row>
    <row r="16" spans="1:10" ht="15.75" customHeight="1" x14ac:dyDescent="0.4">
      <c r="F16" s="6"/>
      <c r="G16" s="115"/>
    </row>
    <row r="17" spans="1:9" ht="15.75" customHeight="1" x14ac:dyDescent="0.4">
      <c r="B17" s="26" t="s">
        <v>216</v>
      </c>
      <c r="C17" s="194" t="str">
        <f>B3</f>
        <v>(Numbers in 1000CNY)</v>
      </c>
      <c r="E17" s="72" t="s">
        <v>217</v>
      </c>
    </row>
    <row r="18" spans="1:9" ht="15.75" customHeight="1" x14ac:dyDescent="0.4">
      <c r="B18" s="58" t="s">
        <v>233</v>
      </c>
      <c r="C18" s="84">
        <f>Asset_Model!E59</f>
        <v>2330366.2800000003</v>
      </c>
      <c r="D18" s="219">
        <f>C18/(Dashboard!I5/Data!C4)</f>
        <v>1.7477784240291512</v>
      </c>
      <c r="E18" s="85" t="s">
        <v>231</v>
      </c>
      <c r="G18" s="137">
        <f>C18+C19+C20+C21</f>
        <v>2492858.7800000003</v>
      </c>
    </row>
    <row r="19" spans="1:9" ht="15.75" customHeight="1" x14ac:dyDescent="0.4">
      <c r="B19" s="58" t="s">
        <v>237</v>
      </c>
      <c r="C19" s="84">
        <f>Asset_Model!E58</f>
        <v>180388.5</v>
      </c>
      <c r="D19" s="219">
        <f>C19/(Dashboard!I5/Data!C4)</f>
        <v>0.13529166249478281</v>
      </c>
      <c r="E19" s="85" t="s">
        <v>350</v>
      </c>
      <c r="G19" s="197">
        <f>(G18+MIN(D4,0))*Data!C$4/Dashboard!I5</f>
        <v>1.7834597609023433</v>
      </c>
    </row>
    <row r="20" spans="1:9" ht="15.75" customHeight="1" x14ac:dyDescent="0.4">
      <c r="B20" s="58" t="s">
        <v>218</v>
      </c>
      <c r="C20" s="84">
        <f>-Asset_Model!D52</f>
        <v>-16614</v>
      </c>
      <c r="D20" s="219">
        <f>C20/(Dashboard!I5/Data!C4)</f>
        <v>-1.2460526478618767E-2</v>
      </c>
      <c r="E20" s="459" t="str">
        <f>IF(F21+G21=G19,"⇒","Error!")</f>
        <v>⇒</v>
      </c>
      <c r="F20" s="146" t="s">
        <v>238</v>
      </c>
      <c r="G20" s="87" t="s">
        <v>23</v>
      </c>
    </row>
    <row r="21" spans="1:9" ht="15.75" customHeight="1" x14ac:dyDescent="0.4">
      <c r="B21" s="85" t="s">
        <v>232</v>
      </c>
      <c r="C21" s="84">
        <f>-Asset_Model!E50</f>
        <v>-1282</v>
      </c>
      <c r="D21" s="219">
        <f>C21/(Dashboard!I5/Data!C4)</f>
        <v>-9.6150204319184174E-4</v>
      </c>
      <c r="E21" s="459"/>
      <c r="F21" s="148">
        <f>D18+(MIN(D4,0)*Data!C$4/Dashboard!I5)</f>
        <v>1.6615901269293709</v>
      </c>
      <c r="G21" s="147">
        <f>SUM(D19:D21)</f>
        <v>0.12186963397297219</v>
      </c>
    </row>
    <row r="22" spans="1:9" ht="15.75" customHeight="1" x14ac:dyDescent="0.4">
      <c r="F22" s="6"/>
      <c r="G22" s="6"/>
    </row>
    <row r="23" spans="1:9" ht="15.75" customHeight="1" x14ac:dyDescent="0.4">
      <c r="B23" s="26" t="s">
        <v>219</v>
      </c>
      <c r="C23" s="194" t="str">
        <f>B3</f>
        <v>(Numbers in 1000CNY)</v>
      </c>
      <c r="E23" s="460" t="s">
        <v>224</v>
      </c>
      <c r="F23" s="460"/>
      <c r="G23" s="460"/>
    </row>
    <row r="24" spans="1:9" ht="15.75" customHeight="1" x14ac:dyDescent="0.4">
      <c r="B24" s="127" t="str">
        <f>"Exit after Year "&amp;G4</f>
        <v>Exit after Year 1</v>
      </c>
      <c r="C24" s="127" t="s">
        <v>222</v>
      </c>
      <c r="D24" s="202" t="s">
        <v>215</v>
      </c>
      <c r="E24" s="304" t="s">
        <v>223</v>
      </c>
      <c r="F24" s="265" t="str">
        <f>"Equity Value ("&amp;Dashboard!I11&amp;")"</f>
        <v>Equity Value (CNY)</v>
      </c>
      <c r="G24" s="265" t="str">
        <f>"Equity Value ("&amp;Dashboard!J4&amp;")"</f>
        <v>Equity Value (HKD)</v>
      </c>
      <c r="I24" s="86" t="s">
        <v>136</v>
      </c>
    </row>
    <row r="25" spans="1:9" ht="15.75" customHeight="1" x14ac:dyDescent="0.4">
      <c r="B25" s="30" t="s">
        <v>290</v>
      </c>
      <c r="C25" s="14">
        <f>1/D25</f>
        <v>0.2</v>
      </c>
      <c r="D25" s="297">
        <v>5</v>
      </c>
      <c r="E25" s="206">
        <f>IF(G9&lt;0,G9,G9*D25/G14)</f>
        <v>-5.2902376759845111E-2</v>
      </c>
      <c r="F25" s="206">
        <f>E25+$G$19</f>
        <v>1.7305573841424982</v>
      </c>
      <c r="G25" s="206">
        <f>ROUND(F25*Exchange_Rate,2)</f>
        <v>1.98</v>
      </c>
      <c r="I25" s="74"/>
    </row>
    <row r="26" spans="1:9" ht="15.75" customHeight="1" x14ac:dyDescent="0.4">
      <c r="B26" s="30" t="s">
        <v>291</v>
      </c>
      <c r="C26" s="349">
        <f>1/D26</f>
        <v>0.125</v>
      </c>
      <c r="D26" s="350">
        <v>8</v>
      </c>
      <c r="E26" s="351">
        <f>IF(G9&lt;0,G9,G9*D26/G14)</f>
        <v>-5.2902376759845111E-2</v>
      </c>
      <c r="F26" s="351">
        <f>E26+$G$19</f>
        <v>1.7305573841424982</v>
      </c>
      <c r="G26" s="351">
        <f>ROUND(F26*Exchange_Rate,2)</f>
        <v>1.98</v>
      </c>
      <c r="I26" s="74" t="s">
        <v>300</v>
      </c>
    </row>
    <row r="27" spans="1:9" ht="15.75" customHeight="1" x14ac:dyDescent="0.4">
      <c r="B27" s="301" t="s">
        <v>298</v>
      </c>
      <c r="C27" s="302">
        <f t="shared" ref="C27" si="0">1/D27</f>
        <v>0.125</v>
      </c>
      <c r="D27" s="314">
        <v>8</v>
      </c>
      <c r="E27" s="207">
        <f>IF(G9&lt;0,G9,G9*D27/G14)</f>
        <v>-5.2902376759845111E-2</v>
      </c>
      <c r="F27" s="207">
        <f>E27+$G$19</f>
        <v>1.7305573841424982</v>
      </c>
      <c r="G27" s="207">
        <f>ROUND(F27*Exchange_Rate,2)</f>
        <v>1.98</v>
      </c>
      <c r="I27" s="74" t="s">
        <v>299</v>
      </c>
    </row>
    <row r="28" spans="1:9" ht="15.75" customHeight="1" x14ac:dyDescent="0.4">
      <c r="C28" s="6"/>
      <c r="D28" s="6"/>
      <c r="E28" s="6"/>
      <c r="F28" s="6"/>
      <c r="G28" s="6"/>
    </row>
    <row r="29" spans="1:9" ht="15.75" customHeight="1" x14ac:dyDescent="0.45">
      <c r="A29" s="10"/>
      <c r="B29" s="11" t="s">
        <v>17</v>
      </c>
      <c r="C29" s="250" t="str">
        <f>"(Numbers in "&amp;Dashboard!J4&amp;" per share)"</f>
        <v>(Numbers in HKD per share)</v>
      </c>
      <c r="D29" s="127"/>
      <c r="E29" s="133"/>
      <c r="F29" s="366" t="s">
        <v>349</v>
      </c>
      <c r="G29" s="369">
        <f>IF(Asset_Model!D7&lt;G19,Asset_Model!D7,G19)</f>
        <v>1.6358482526225129</v>
      </c>
      <c r="H29" s="12"/>
      <c r="I29" s="90"/>
    </row>
    <row r="30" spans="1:9" ht="15.75" customHeight="1" x14ac:dyDescent="0.4">
      <c r="A30" s="6"/>
      <c r="B30" s="71" t="s">
        <v>147</v>
      </c>
      <c r="C30" s="252">
        <f>MIN(G29,G25)+(ABS(G29-G25)*'Qualitative Analysis'!E8)</f>
        <v>1.8010410913637067</v>
      </c>
      <c r="D30" s="23" t="str">
        <f>IF(C30&lt;E30,"&lt;",IF(C30=E30,"=","&gt;"))</f>
        <v>&lt;</v>
      </c>
      <c r="E30" s="251">
        <f>MAX(G26, G19*Exchange_Rate)</f>
        <v>2.0424389077766301</v>
      </c>
      <c r="F30" s="30"/>
      <c r="H30" s="6"/>
      <c r="I30" s="6"/>
    </row>
    <row r="31" spans="1:9" ht="15.75" customHeight="1" x14ac:dyDescent="0.4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4">
      <c r="C32" s="457" t="s">
        <v>148</v>
      </c>
      <c r="D32" s="458"/>
      <c r="E32" s="30" t="s">
        <v>214</v>
      </c>
      <c r="F32" s="30" t="s">
        <v>18</v>
      </c>
      <c r="G32" s="30"/>
      <c r="H32" s="6"/>
    </row>
    <row r="33" spans="2:9" ht="15.75" customHeight="1" x14ac:dyDescent="0.4">
      <c r="B33" s="256" t="s">
        <v>226</v>
      </c>
      <c r="C33" s="253">
        <f>MIN(C30,E30)+ABS(C30-E30)*'Qualitative Analysis'!$E$64</f>
        <v>1.9118952382817638</v>
      </c>
      <c r="D33" s="119" t="str">
        <f>Dashboard!J4</f>
        <v>HKD</v>
      </c>
      <c r="E33" s="120">
        <f>(C33-G19)/C9</f>
        <v>504.72072740299501</v>
      </c>
      <c r="F33" s="158">
        <f>C33/(Data!C28*Exchange_Rate*Data!C4/Common_Shares)</f>
        <v>0.81380000769283944</v>
      </c>
      <c r="G33" s="87"/>
      <c r="H33" s="6"/>
      <c r="I33" s="74"/>
    </row>
    <row r="34" spans="2:9" ht="15.5" customHeight="1" x14ac:dyDescent="0.4">
      <c r="B34" s="255" t="s">
        <v>225</v>
      </c>
      <c r="C34" s="254">
        <f>MAX(Asset_Model!D7,G19*Exchange_Rate,(G12/(1+G34)^G4+G19)*Exchange_Rate)</f>
        <v>2.0424389077766301</v>
      </c>
      <c r="D34" s="208" t="str">
        <f>D33</f>
        <v>HKD</v>
      </c>
      <c r="E34" s="120">
        <f>(C34-G19)/C9</f>
        <v>1017.7261459187864</v>
      </c>
      <c r="F34" s="158">
        <f>C34/(Data!C28*Exchange_Rate*Data!C4/Common_Shares)</f>
        <v>0.86936604348392665</v>
      </c>
      <c r="G34" s="280">
        <f>Dashboard!D10+4.5%</f>
        <v>7.3999999999999996E-2</v>
      </c>
    </row>
    <row r="35" spans="2:9" ht="15.75" customHeight="1" x14ac:dyDescent="0.4"/>
    <row r="36" spans="2:9" ht="15.75" customHeight="1" x14ac:dyDescent="0.4"/>
    <row r="37" spans="2:9" ht="15.75" customHeight="1" x14ac:dyDescent="0.4"/>
    <row r="38" spans="2:9" ht="15.75" customHeight="1" x14ac:dyDescent="0.4"/>
    <row r="39" spans="2:9" ht="15.75" customHeight="1" x14ac:dyDescent="0.4"/>
    <row r="40" spans="2:9" ht="15.75" customHeight="1" x14ac:dyDescent="0.4"/>
    <row r="41" spans="2:9" ht="15.75" customHeight="1" x14ac:dyDescent="0.4"/>
    <row r="42" spans="2:9" ht="15.75" customHeight="1" x14ac:dyDescent="0.4"/>
    <row r="43" spans="2:9" ht="15.75" customHeight="1" x14ac:dyDescent="0.4"/>
    <row r="44" spans="2:9" ht="15.75" customHeight="1" x14ac:dyDescent="0.4"/>
    <row r="45" spans="2:9" ht="15.75" customHeight="1" x14ac:dyDescent="0.4"/>
    <row r="46" spans="2:9" ht="15.75" customHeight="1" x14ac:dyDescent="0.4"/>
    <row r="47" spans="2:9" ht="15.75" customHeight="1" x14ac:dyDescent="0.4"/>
    <row r="48" spans="2:9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3">
    <mergeCell ref="C32:D32"/>
    <mergeCell ref="E20:E21"/>
    <mergeCell ref="E23:G23"/>
  </mergeCells>
  <phoneticPr fontId="32" type="noConversion"/>
  <conditionalFormatting sqref="E4:F9 E13:F15">
    <cfRule type="containsBlanks" dxfId="2" priority="5">
      <formula>LEN(TRIM(E4))=0</formula>
    </cfRule>
  </conditionalFormatting>
  <conditionalFormatting sqref="E25:G27">
    <cfRule type="cellIs" dxfId="1" priority="28" operator="equal">
      <formula>$E$30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34" zoomScaleNormal="100" workbookViewId="0">
      <selection activeCell="E56" sqref="E56:E61"/>
    </sheetView>
  </sheetViews>
  <sheetFormatPr defaultColWidth="12.46484375" defaultRowHeight="15" customHeight="1" x14ac:dyDescent="0.4"/>
  <cols>
    <col min="1" max="1" width="2.46484375" style="3" customWidth="1"/>
    <col min="2" max="2" width="62.46484375" style="3" customWidth="1"/>
    <col min="3" max="3" width="28.59765625" style="3" customWidth="1"/>
    <col min="4" max="4" width="10.59765625" style="3" customWidth="1"/>
    <col min="5" max="5" width="28.59765625" style="3" customWidth="1"/>
    <col min="6" max="6" width="5.59765625" style="3" customWidth="1"/>
    <col min="7" max="7" width="73.796875" style="3" customWidth="1"/>
    <col min="8" max="16384" width="12.46484375" style="3"/>
  </cols>
  <sheetData>
    <row r="2" spans="1:7" x14ac:dyDescent="0.4">
      <c r="A2" s="4"/>
      <c r="B2" s="11" t="s">
        <v>149</v>
      </c>
      <c r="C2" s="95"/>
      <c r="D2" s="12"/>
      <c r="E2" s="12"/>
      <c r="G2" s="72" t="s">
        <v>136</v>
      </c>
    </row>
    <row r="3" spans="1:7" ht="13.9" x14ac:dyDescent="0.4">
      <c r="B3" s="6" t="s">
        <v>273</v>
      </c>
      <c r="C3" s="96"/>
      <c r="D3" s="94">
        <f>IF(E3="Strongly disagree",0,IF(E3="disagree",1,IF(E3="unclear",2,IF(E3="agree",3,4))))</f>
        <v>0</v>
      </c>
      <c r="E3" s="31" t="s">
        <v>173</v>
      </c>
      <c r="G3" s="79" t="s">
        <v>301</v>
      </c>
    </row>
    <row r="4" spans="1:7" ht="13.9" x14ac:dyDescent="0.4">
      <c r="B4" s="6" t="s">
        <v>275</v>
      </c>
      <c r="C4" s="96"/>
      <c r="D4" s="94">
        <f t="shared" ref="D4" si="0">IF(E4="Strongly disagree",0,IF(E4="disagree",1,IF(E4="unclear",2,IF(E4="agree",3,4))))</f>
        <v>4</v>
      </c>
      <c r="E4" s="31" t="s">
        <v>160</v>
      </c>
      <c r="G4" s="77"/>
    </row>
    <row r="5" spans="1:7" ht="13.9" x14ac:dyDescent="0.4">
      <c r="B5" s="6" t="s">
        <v>270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3.9" x14ac:dyDescent="0.4">
      <c r="B6" s="6" t="s">
        <v>271</v>
      </c>
      <c r="C6" s="96"/>
      <c r="D6" s="94">
        <f>AVERAGE(D24:D28)</f>
        <v>2.2000000000000002</v>
      </c>
      <c r="E6" s="102" t="str">
        <f>IF(D6&gt;=3.5,"Strongly agree",IF(D6&gt;=2.5,"agree",IF(D6&gt;=1.5,"unclear",IF(D6&gt;=0.5,"disagree","Strongly disagree"))))</f>
        <v>unclear</v>
      </c>
      <c r="G6" s="77"/>
    </row>
    <row r="7" spans="1:7" ht="13.9" x14ac:dyDescent="0.4">
      <c r="B7" s="6" t="s">
        <v>272</v>
      </c>
      <c r="C7" s="96"/>
      <c r="D7" s="100">
        <f>IF(E7="Strongly disagree",0,IF(E7="disagree",1,IF(E7="unclear",2,IF(E7="agree",3,4))))</f>
        <v>2</v>
      </c>
      <c r="E7" s="101" t="str">
        <f>IF(D64&gt;=3.5,"Strongly agree",IF(D64&gt;=2.5,"agree",IF(D64&gt;=1.5,"unclear",IF(D64&gt;=0.5,"disagree","Strongly disagree"))))</f>
        <v>unclear</v>
      </c>
      <c r="G7" s="79"/>
    </row>
    <row r="8" spans="1:7" ht="13.9" x14ac:dyDescent="0.4">
      <c r="B8" s="97" t="s">
        <v>152</v>
      </c>
      <c r="C8" s="96"/>
      <c r="D8" s="94">
        <f>AVERAGE(D3:D7)</f>
        <v>1.9200000000000004</v>
      </c>
      <c r="E8" s="98">
        <f>D8/4</f>
        <v>0.48000000000000009</v>
      </c>
      <c r="G8" s="77"/>
    </row>
    <row r="9" spans="1:7" ht="13.9" x14ac:dyDescent="0.4">
      <c r="B9" s="96"/>
      <c r="C9" s="96"/>
      <c r="E9" s="6"/>
      <c r="G9" s="77"/>
    </row>
    <row r="10" spans="1:7" ht="15" customHeight="1" x14ac:dyDescent="0.4">
      <c r="A10" s="4"/>
      <c r="B10" s="11" t="s">
        <v>153</v>
      </c>
      <c r="C10" s="20"/>
      <c r="D10" s="20"/>
      <c r="E10" s="12"/>
      <c r="G10" s="294"/>
    </row>
    <row r="11" spans="1:7" ht="15" customHeight="1" x14ac:dyDescent="0.4">
      <c r="B11" s="99" t="s">
        <v>154</v>
      </c>
      <c r="C11" s="93"/>
      <c r="E11" s="6"/>
      <c r="G11" s="294"/>
    </row>
    <row r="12" spans="1:7" ht="15" customHeight="1" x14ac:dyDescent="0.4">
      <c r="B12" s="53" t="s">
        <v>274</v>
      </c>
      <c r="D12" s="100">
        <f>IF(E12="Strongly disagree",0,IF(E12="disagree",1,IF(E12="unclear",2,IF(E12="agree",3,4))))</f>
        <v>0</v>
      </c>
      <c r="E12" s="31" t="s">
        <v>173</v>
      </c>
      <c r="F12" s="6"/>
      <c r="G12" s="294" t="s">
        <v>302</v>
      </c>
    </row>
    <row r="13" spans="1:7" ht="15" customHeight="1" x14ac:dyDescent="0.4">
      <c r="B13" s="53" t="s">
        <v>155</v>
      </c>
      <c r="D13" s="100">
        <f>IF(E13="Strongly disagree",0,IF(E13="disagree",1,IF(E13="unclear",2,IF(E13="agree",3,4))))</f>
        <v>1</v>
      </c>
      <c r="E13" s="31" t="s">
        <v>158</v>
      </c>
      <c r="F13" s="6"/>
      <c r="G13" s="294"/>
    </row>
    <row r="14" spans="1:7" ht="15" customHeight="1" x14ac:dyDescent="0.4">
      <c r="B14" s="53" t="s">
        <v>156</v>
      </c>
      <c r="D14" s="100">
        <f>IF(E14="Strongly disagree",0,IF(E14="disagree",1,IF(E14="unclear",2,IF(E14="agree",3,4))))</f>
        <v>1</v>
      </c>
      <c r="E14" s="31" t="s">
        <v>158</v>
      </c>
      <c r="F14" s="6"/>
      <c r="G14" s="294"/>
    </row>
    <row r="15" spans="1:7" ht="15" customHeight="1" x14ac:dyDescent="0.4">
      <c r="B15" s="53" t="s">
        <v>157</v>
      </c>
      <c r="D15" s="100">
        <f>IF(E15="Strongly disagree",0,IF(E15="disagree",1,IF(E15="unclear",2,IF(E15="agree",3,4))))</f>
        <v>1</v>
      </c>
      <c r="E15" s="31" t="s">
        <v>158</v>
      </c>
      <c r="F15" s="6"/>
      <c r="G15" s="294"/>
    </row>
    <row r="16" spans="1:7" ht="15" customHeight="1" x14ac:dyDescent="0.4">
      <c r="B16" s="53" t="s">
        <v>159</v>
      </c>
      <c r="D16" s="100">
        <f>IF(E16="Strongly disagree",0,IF(E16="disagree",1,IF(E16="unclear",2,IF(E16="agree",3,4))))</f>
        <v>4</v>
      </c>
      <c r="E16" s="31" t="s">
        <v>160</v>
      </c>
      <c r="F16" s="6"/>
      <c r="G16" s="294"/>
    </row>
    <row r="17" spans="2:7" ht="15" customHeight="1" x14ac:dyDescent="0.4">
      <c r="B17" s="99" t="s">
        <v>161</v>
      </c>
      <c r="D17" s="38"/>
      <c r="E17" s="23"/>
      <c r="G17" s="294"/>
    </row>
    <row r="18" spans="2:7" ht="15" customHeight="1" x14ac:dyDescent="0.4">
      <c r="B18" s="53" t="s">
        <v>295</v>
      </c>
      <c r="D18" s="100">
        <f>Asset_Model!J26</f>
        <v>4</v>
      </c>
      <c r="E18" s="49" t="str">
        <f>IF(D18&gt;=3.5,"Strongly agree",IF(D18&gt;=2.5,"agree",IF(D18&gt;=1.5,"unclear",IF(D18&gt;=0.5,"disagree","Strongly disagree"))))</f>
        <v>Strongly agree</v>
      </c>
      <c r="F18" s="6"/>
      <c r="G18" s="294"/>
    </row>
    <row r="19" spans="2:7" ht="15" customHeight="1" x14ac:dyDescent="0.4">
      <c r="B19" s="53" t="s">
        <v>162</v>
      </c>
      <c r="D19" s="100">
        <f t="shared" ref="D19:D22" si="1">IF(E19="Strongly disagree",0,IF(E19="disagree",1,IF(E19="unclear",2,IF(E19="agree",3,4))))</f>
        <v>2</v>
      </c>
      <c r="E19" s="31" t="s">
        <v>150</v>
      </c>
      <c r="F19" s="6"/>
      <c r="G19" s="294" t="s">
        <v>303</v>
      </c>
    </row>
    <row r="20" spans="2:7" ht="15" customHeight="1" x14ac:dyDescent="0.4">
      <c r="B20" s="53" t="s">
        <v>163</v>
      </c>
      <c r="D20" s="100">
        <f t="shared" si="1"/>
        <v>1</v>
      </c>
      <c r="E20" s="31" t="s">
        <v>158</v>
      </c>
      <c r="F20" s="6"/>
      <c r="G20" s="294"/>
    </row>
    <row r="21" spans="2:7" ht="15" customHeight="1" x14ac:dyDescent="0.4">
      <c r="B21" s="53" t="s">
        <v>164</v>
      </c>
      <c r="D21" s="100">
        <f t="shared" si="1"/>
        <v>2</v>
      </c>
      <c r="E21" s="31" t="s">
        <v>150</v>
      </c>
      <c r="F21" s="6"/>
      <c r="G21" s="294"/>
    </row>
    <row r="22" spans="2:7" ht="15" customHeight="1" x14ac:dyDescent="0.4">
      <c r="B22" s="53" t="s">
        <v>165</v>
      </c>
      <c r="D22" s="100">
        <f t="shared" si="1"/>
        <v>1</v>
      </c>
      <c r="E22" s="31" t="s">
        <v>158</v>
      </c>
      <c r="F22" s="6"/>
      <c r="G22" s="294"/>
    </row>
    <row r="23" spans="2:7" ht="15" customHeight="1" x14ac:dyDescent="0.4">
      <c r="B23" s="99" t="s">
        <v>166</v>
      </c>
      <c r="D23" s="38"/>
      <c r="E23" s="23"/>
      <c r="G23" s="294"/>
    </row>
    <row r="24" spans="2:7" ht="15" customHeight="1" x14ac:dyDescent="0.4">
      <c r="B24" s="53" t="s">
        <v>167</v>
      </c>
      <c r="D24" s="100">
        <f t="shared" ref="D24:D28" si="2">IF(E24="Strongly disagree",0,IF(E24="disagree",1,IF(E24="unclear",2,IF(E24="agree",3,4))))</f>
        <v>3</v>
      </c>
      <c r="E24" s="31" t="s">
        <v>151</v>
      </c>
      <c r="F24" s="6"/>
      <c r="G24" s="294" t="s">
        <v>304</v>
      </c>
    </row>
    <row r="25" spans="2:7" ht="15" customHeight="1" x14ac:dyDescent="0.4">
      <c r="B25" s="53" t="s">
        <v>168</v>
      </c>
      <c r="D25" s="100">
        <f t="shared" si="2"/>
        <v>2</v>
      </c>
      <c r="E25" s="31" t="s">
        <v>150</v>
      </c>
      <c r="F25" s="6"/>
      <c r="G25" s="294" t="s">
        <v>305</v>
      </c>
    </row>
    <row r="26" spans="2:7" ht="15" customHeight="1" x14ac:dyDescent="0.4">
      <c r="B26" s="53" t="s">
        <v>276</v>
      </c>
      <c r="D26" s="100">
        <f t="shared" si="2"/>
        <v>2</v>
      </c>
      <c r="E26" s="31" t="s">
        <v>150</v>
      </c>
      <c r="F26" s="6"/>
      <c r="G26" s="294"/>
    </row>
    <row r="27" spans="2:7" ht="15" customHeight="1" x14ac:dyDescent="0.4">
      <c r="B27" s="53" t="s">
        <v>277</v>
      </c>
      <c r="D27" s="100">
        <f t="shared" si="2"/>
        <v>2</v>
      </c>
      <c r="E27" s="31" t="s">
        <v>150</v>
      </c>
      <c r="F27" s="6"/>
      <c r="G27" s="294"/>
    </row>
    <row r="28" spans="2:7" ht="15" customHeight="1" x14ac:dyDescent="0.4">
      <c r="B28" s="53" t="s">
        <v>169</v>
      </c>
      <c r="D28" s="100">
        <f t="shared" si="2"/>
        <v>2</v>
      </c>
      <c r="E28" s="31" t="s">
        <v>150</v>
      </c>
      <c r="F28" s="6"/>
      <c r="G28" s="294"/>
    </row>
    <row r="29" spans="2:7" ht="15" customHeight="1" x14ac:dyDescent="0.4">
      <c r="B29" s="99" t="s">
        <v>170</v>
      </c>
      <c r="D29" s="38"/>
      <c r="E29" s="23"/>
      <c r="G29" s="294"/>
    </row>
    <row r="30" spans="2:7" ht="15" customHeight="1" x14ac:dyDescent="0.4">
      <c r="B30" s="1" t="s">
        <v>171</v>
      </c>
      <c r="D30" s="103">
        <f>SUM(D31:D35)/(5*4)</f>
        <v>0.65</v>
      </c>
      <c r="E30" s="49" t="str">
        <f>IF(D30&gt;80%,"Very High",IF(D30&lt;=20%,"Very Low",IF(D30&lt;=40%,"Low",IF(D30&lt;=60%,"Medium","High"))))</f>
        <v>High</v>
      </c>
      <c r="F30" s="6"/>
      <c r="G30" s="294"/>
    </row>
    <row r="31" spans="2:7" ht="15" customHeight="1" x14ac:dyDescent="0.4">
      <c r="B31" s="53" t="s">
        <v>172</v>
      </c>
      <c r="D31" s="100">
        <f t="shared" ref="D31:D35" si="3">IF(E31="Strongly disagree",0,IF(E31="disagree",1,IF(E31="unclear",2,IF(E31="agree",3,4))))</f>
        <v>1</v>
      </c>
      <c r="E31" s="31" t="s">
        <v>158</v>
      </c>
      <c r="F31" s="6"/>
      <c r="G31" s="294"/>
    </row>
    <row r="32" spans="2:7" ht="15" customHeight="1" x14ac:dyDescent="0.4">
      <c r="B32" s="53" t="s">
        <v>278</v>
      </c>
      <c r="D32" s="100">
        <f t="shared" si="3"/>
        <v>4</v>
      </c>
      <c r="E32" s="31" t="s">
        <v>160</v>
      </c>
      <c r="F32" s="6"/>
      <c r="G32" s="294"/>
    </row>
    <row r="33" spans="2:7" ht="15" customHeight="1" x14ac:dyDescent="0.4">
      <c r="B33" s="53" t="s">
        <v>279</v>
      </c>
      <c r="D33" s="100">
        <f t="shared" si="3"/>
        <v>1</v>
      </c>
      <c r="E33" s="31" t="s">
        <v>158</v>
      </c>
      <c r="F33" s="6"/>
      <c r="G33" s="294"/>
    </row>
    <row r="34" spans="2:7" ht="15" customHeight="1" x14ac:dyDescent="0.4">
      <c r="B34" s="53" t="s">
        <v>280</v>
      </c>
      <c r="D34" s="100">
        <f t="shared" si="3"/>
        <v>3</v>
      </c>
      <c r="E34" s="31" t="s">
        <v>151</v>
      </c>
      <c r="F34" s="6"/>
      <c r="G34" s="294"/>
    </row>
    <row r="35" spans="2:7" ht="15" customHeight="1" x14ac:dyDescent="0.4">
      <c r="B35" s="53" t="s">
        <v>297</v>
      </c>
      <c r="D35" s="100">
        <f t="shared" si="3"/>
        <v>4</v>
      </c>
      <c r="E35" s="31" t="s">
        <v>160</v>
      </c>
      <c r="G35" s="294"/>
    </row>
    <row r="36" spans="2:7" ht="15" customHeight="1" x14ac:dyDescent="0.4">
      <c r="B36" s="1" t="s">
        <v>174</v>
      </c>
      <c r="D36" s="103">
        <f>SUM(D37:D41)/(5*4)</f>
        <v>0.3</v>
      </c>
      <c r="E36" s="49" t="str">
        <f>IF(D36&gt;80%,"Very High",IF(D36&lt;=20%,"Very Low",IF(D36&lt;=40%,"Low",IF(D36&lt;=60%,"Medium","High"))))</f>
        <v>Low</v>
      </c>
      <c r="F36" s="6"/>
      <c r="G36" s="294"/>
    </row>
    <row r="37" spans="2:7" ht="15" customHeight="1" x14ac:dyDescent="0.4">
      <c r="B37" s="53" t="s">
        <v>175</v>
      </c>
      <c r="D37" s="100">
        <f t="shared" ref="D37:D41" si="4">IF(E37="Strongly disagree",0,IF(E37="disagree",1,IF(E37="unclear",2,IF(E37="agree",3,4))))</f>
        <v>0</v>
      </c>
      <c r="E37" s="31" t="s">
        <v>173</v>
      </c>
      <c r="F37" s="6"/>
      <c r="G37" s="294"/>
    </row>
    <row r="38" spans="2:7" ht="15" customHeight="1" x14ac:dyDescent="0.4">
      <c r="B38" s="53" t="s">
        <v>281</v>
      </c>
      <c r="D38" s="100">
        <f t="shared" si="4"/>
        <v>0</v>
      </c>
      <c r="E38" s="31" t="s">
        <v>173</v>
      </c>
      <c r="F38" s="6"/>
      <c r="G38" s="294"/>
    </row>
    <row r="39" spans="2:7" ht="15" customHeight="1" x14ac:dyDescent="0.4">
      <c r="B39" s="53" t="s">
        <v>282</v>
      </c>
      <c r="D39" s="100">
        <f t="shared" si="4"/>
        <v>3</v>
      </c>
      <c r="E39" s="31" t="s">
        <v>151</v>
      </c>
      <c r="F39" s="6"/>
      <c r="G39" s="294"/>
    </row>
    <row r="40" spans="2:7" ht="15" customHeight="1" x14ac:dyDescent="0.4">
      <c r="B40" s="53" t="s">
        <v>283</v>
      </c>
      <c r="D40" s="100">
        <f t="shared" si="4"/>
        <v>3</v>
      </c>
      <c r="E40" s="31" t="s">
        <v>151</v>
      </c>
      <c r="F40" s="6"/>
      <c r="G40" s="294"/>
    </row>
    <row r="41" spans="2:7" ht="15" customHeight="1" x14ac:dyDescent="0.4">
      <c r="B41" s="53" t="s">
        <v>284</v>
      </c>
      <c r="D41" s="100">
        <f t="shared" si="4"/>
        <v>0</v>
      </c>
      <c r="E41" s="31" t="s">
        <v>173</v>
      </c>
      <c r="G41" s="294"/>
    </row>
    <row r="42" spans="2:7" ht="15" customHeight="1" x14ac:dyDescent="0.4">
      <c r="B42" s="1" t="s">
        <v>176</v>
      </c>
      <c r="D42" s="103">
        <f>SUM(D43:D48)/(6*4)</f>
        <v>0.33333333333333331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4">
      <c r="B43" s="53" t="s">
        <v>177</v>
      </c>
      <c r="D43" s="100">
        <f t="shared" ref="D43:D48" si="5">IF(E43="Strongly disagree",0,IF(E43="disagree",1,IF(E43="unclear",2,IF(E43="agree",3,4))))</f>
        <v>0</v>
      </c>
      <c r="E43" s="31" t="s">
        <v>173</v>
      </c>
      <c r="F43" s="6"/>
      <c r="G43" s="294"/>
    </row>
    <row r="44" spans="2:7" ht="15" customHeight="1" x14ac:dyDescent="0.4">
      <c r="B44" s="53" t="s">
        <v>178</v>
      </c>
      <c r="D44" s="100">
        <f t="shared" si="5"/>
        <v>2</v>
      </c>
      <c r="E44" s="31" t="s">
        <v>150</v>
      </c>
      <c r="F44" s="6"/>
      <c r="G44" s="294"/>
    </row>
    <row r="45" spans="2:7" ht="15" customHeight="1" x14ac:dyDescent="0.4">
      <c r="B45" s="53" t="s">
        <v>179</v>
      </c>
      <c r="D45" s="100">
        <f t="shared" si="5"/>
        <v>4</v>
      </c>
      <c r="E45" s="31" t="s">
        <v>160</v>
      </c>
      <c r="F45" s="6"/>
      <c r="G45" s="294"/>
    </row>
    <row r="46" spans="2:7" ht="15" customHeight="1" x14ac:dyDescent="0.4">
      <c r="B46" s="53" t="s">
        <v>180</v>
      </c>
      <c r="D46" s="100">
        <f t="shared" si="5"/>
        <v>0</v>
      </c>
      <c r="E46" s="31" t="s">
        <v>173</v>
      </c>
      <c r="F46" s="6"/>
      <c r="G46" s="294" t="s">
        <v>306</v>
      </c>
    </row>
    <row r="47" spans="2:7" ht="15" customHeight="1" x14ac:dyDescent="0.4">
      <c r="B47" s="53" t="s">
        <v>181</v>
      </c>
      <c r="D47" s="100">
        <f t="shared" si="5"/>
        <v>0</v>
      </c>
      <c r="E47" s="31" t="s">
        <v>173</v>
      </c>
      <c r="F47" s="6"/>
      <c r="G47" s="294"/>
    </row>
    <row r="48" spans="2:7" ht="15" customHeight="1" x14ac:dyDescent="0.4">
      <c r="B48" s="53" t="s">
        <v>207</v>
      </c>
      <c r="D48" s="100">
        <f t="shared" si="5"/>
        <v>2</v>
      </c>
      <c r="E48" s="31" t="s">
        <v>150</v>
      </c>
      <c r="F48" s="6"/>
      <c r="G48" s="294"/>
    </row>
    <row r="49" spans="2:8" ht="15" customHeight="1" x14ac:dyDescent="0.4">
      <c r="B49" s="1" t="s">
        <v>182</v>
      </c>
      <c r="D49" s="103">
        <f>SUM(D50:D54)/(5*4)</f>
        <v>0.61564625850340138</v>
      </c>
      <c r="E49" s="49" t="str">
        <f>IF(D49&gt;80%,"Very High",IF(D49&lt;=20%,"Very Low",IF(D49&lt;=40%,"Low",IF(D49&lt;=60%,"Medium","High"))))</f>
        <v>High</v>
      </c>
      <c r="F49" s="6"/>
      <c r="G49" s="294"/>
    </row>
    <row r="50" spans="2:8" ht="15" customHeight="1" x14ac:dyDescent="0.4">
      <c r="B50" s="53" t="s">
        <v>183</v>
      </c>
      <c r="D50" s="100">
        <f t="shared" ref="D50:D52" si="6">IF(E50="Strongly disagree",0,IF(E50="disagree",1,IF(E50="unclear",2,IF(E50="agree",3,4))))</f>
        <v>1</v>
      </c>
      <c r="E50" s="31" t="s">
        <v>158</v>
      </c>
      <c r="G50" s="294"/>
    </row>
    <row r="51" spans="2:8" ht="15" customHeight="1" x14ac:dyDescent="0.4">
      <c r="B51" s="53" t="s">
        <v>184</v>
      </c>
      <c r="D51" s="100">
        <f t="shared" si="6"/>
        <v>2</v>
      </c>
      <c r="E51" s="31" t="s">
        <v>150</v>
      </c>
      <c r="F51" s="6"/>
      <c r="G51" s="294"/>
    </row>
    <row r="52" spans="2:8" ht="15" customHeight="1" x14ac:dyDescent="0.4">
      <c r="B52" s="53" t="s">
        <v>285</v>
      </c>
      <c r="D52" s="100">
        <f t="shared" si="6"/>
        <v>3</v>
      </c>
      <c r="E52" s="31" t="s">
        <v>151</v>
      </c>
      <c r="G52" s="294"/>
    </row>
    <row r="53" spans="2:8" ht="15" customHeight="1" x14ac:dyDescent="0.4">
      <c r="B53" s="53" t="s">
        <v>286</v>
      </c>
      <c r="D53" s="100">
        <f>IF(E53="Strongly disagree",0,IF(E53="disagree",1,IF(E53="unclear",2,IF(E53="agree",3,4))))</f>
        <v>4</v>
      </c>
      <c r="E53" s="31" t="s">
        <v>160</v>
      </c>
      <c r="F53" s="53"/>
      <c r="G53" s="294"/>
      <c r="H53" s="53"/>
    </row>
    <row r="54" spans="2:8" ht="15" customHeight="1" x14ac:dyDescent="0.4">
      <c r="B54" s="53" t="s">
        <v>287</v>
      </c>
      <c r="D54" s="104">
        <f t="array" ref="D54">(1-INDEX(B68:E77,MATCH(E54,B68:B77,0),4))*4</f>
        <v>2.3129251700680271</v>
      </c>
      <c r="E54" s="31" t="s">
        <v>348</v>
      </c>
      <c r="F54" s="53"/>
      <c r="G54" s="294"/>
      <c r="H54" s="53"/>
    </row>
    <row r="55" spans="2:8" ht="15" customHeight="1" x14ac:dyDescent="0.4">
      <c r="B55" s="1" t="s">
        <v>185</v>
      </c>
      <c r="D55" s="105">
        <f>SUM(D56:D61)/(6*4)</f>
        <v>0.91666666666666663</v>
      </c>
      <c r="E55" s="49" t="str">
        <f>IF(D55&gt;80%,"Very High",IF(D55&lt;=20%,"Very Low",IF(D55&lt;=40%,"Low",IF(D55&lt;=60%,"Medium","High"))))</f>
        <v>Very High</v>
      </c>
      <c r="F55" s="53"/>
      <c r="G55" s="294"/>
      <c r="H55" s="53"/>
    </row>
    <row r="56" spans="2:8" ht="15" customHeight="1" x14ac:dyDescent="0.4">
      <c r="B56" s="53" t="s">
        <v>186</v>
      </c>
      <c r="D56" s="100">
        <f t="shared" ref="D56:D60" si="7">IF(E56="Strongly disagree",0,IF(E56="disagree",1,IF(E56="unclear",2,IF(E56="agree",3,4))))</f>
        <v>4</v>
      </c>
      <c r="E56" s="31" t="s">
        <v>160</v>
      </c>
      <c r="F56" s="53"/>
      <c r="G56" s="294"/>
      <c r="H56" s="53"/>
    </row>
    <row r="57" spans="2:8" ht="15" customHeight="1" x14ac:dyDescent="0.4">
      <c r="B57" s="53" t="s">
        <v>187</v>
      </c>
      <c r="D57" s="100">
        <f t="shared" si="7"/>
        <v>4</v>
      </c>
      <c r="E57" s="31" t="s">
        <v>160</v>
      </c>
      <c r="F57" s="53"/>
      <c r="G57" s="294"/>
      <c r="H57" s="53"/>
    </row>
    <row r="58" spans="2:8" ht="15" customHeight="1" x14ac:dyDescent="0.4">
      <c r="B58" s="53" t="s">
        <v>208</v>
      </c>
      <c r="D58" s="100">
        <f t="shared" si="7"/>
        <v>3</v>
      </c>
      <c r="E58" s="31" t="s">
        <v>151</v>
      </c>
      <c r="F58" s="53"/>
      <c r="G58" s="294"/>
      <c r="H58" s="53"/>
    </row>
    <row r="59" spans="2:8" ht="15" customHeight="1" x14ac:dyDescent="0.4">
      <c r="B59" s="53" t="s">
        <v>209</v>
      </c>
      <c r="D59" s="100">
        <f t="shared" si="7"/>
        <v>4</v>
      </c>
      <c r="E59" s="31" t="s">
        <v>160</v>
      </c>
      <c r="F59" s="53"/>
      <c r="G59" s="294"/>
      <c r="H59" s="53"/>
    </row>
    <row r="60" spans="2:8" ht="15" customHeight="1" x14ac:dyDescent="0.4">
      <c r="B60" s="53" t="s">
        <v>210</v>
      </c>
      <c r="D60" s="100">
        <f t="shared" si="7"/>
        <v>4</v>
      </c>
      <c r="E60" s="31" t="s">
        <v>160</v>
      </c>
      <c r="F60" s="53"/>
      <c r="G60" s="294"/>
      <c r="H60" s="53"/>
    </row>
    <row r="61" spans="2:8" ht="15" customHeight="1" x14ac:dyDescent="0.4">
      <c r="B61" s="53" t="s">
        <v>211</v>
      </c>
      <c r="D61" s="100">
        <f>IF(E61="Strongly disagree",0,IF(E61="disagree",1,IF(E61="non-perishable",2,IF(E61="agree",3,4))))</f>
        <v>3</v>
      </c>
      <c r="E61" s="31" t="s">
        <v>151</v>
      </c>
      <c r="F61" s="53"/>
      <c r="G61" s="294"/>
      <c r="H61" s="53"/>
    </row>
    <row r="62" spans="2:8" ht="15" customHeight="1" x14ac:dyDescent="0.4">
      <c r="B62" s="146" t="s">
        <v>188</v>
      </c>
      <c r="D62" s="126">
        <f>1-AVERAGE(D30,D36,D42,D49,D55)</f>
        <v>0.43687074829931982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4">
      <c r="D63" s="6"/>
      <c r="G63" s="294"/>
    </row>
    <row r="64" spans="2:8" ht="15" customHeight="1" x14ac:dyDescent="0.4">
      <c r="B64" s="97" t="s">
        <v>189</v>
      </c>
      <c r="D64" s="94">
        <f>E64*4</f>
        <v>1.8368707482993196</v>
      </c>
      <c r="E64" s="125">
        <f>AVERAGE(AVERAGE(D12:D16)/4,AVERAGE(D18:D22)/4,AVERAGE(D24:D28)/4,D62)</f>
        <v>0.45921768707482991</v>
      </c>
      <c r="G64" s="294"/>
    </row>
    <row r="65" spans="2:7" ht="15" customHeight="1" x14ac:dyDescent="0.4">
      <c r="G65" s="295"/>
    </row>
    <row r="66" spans="2:7" ht="15" customHeight="1" x14ac:dyDescent="0.4">
      <c r="B66" s="54" t="s">
        <v>190</v>
      </c>
      <c r="C66" s="7"/>
      <c r="D66" s="7"/>
      <c r="E66" s="55"/>
    </row>
    <row r="67" spans="2:7" ht="15" customHeight="1" x14ac:dyDescent="0.4">
      <c r="B67" s="106" t="s">
        <v>191</v>
      </c>
      <c r="C67" s="107"/>
      <c r="D67" s="107"/>
      <c r="E67" s="108"/>
    </row>
    <row r="68" spans="2:7" ht="15" customHeight="1" x14ac:dyDescent="0.4">
      <c r="B68" s="109" t="s">
        <v>192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4">
      <c r="B69" s="109" t="str">
        <f t="shared" ref="B69:B77" si="9">C69&amp;", "&amp;D69&amp;"y"</f>
        <v>Information Technology Like, 6.6y</v>
      </c>
      <c r="C69" s="107" t="s">
        <v>193</v>
      </c>
      <c r="D69" s="107">
        <v>6.6</v>
      </c>
      <c r="E69" s="110">
        <f t="shared" si="8"/>
        <v>0.22448979591836735</v>
      </c>
    </row>
    <row r="70" spans="2:7" ht="15" customHeight="1" x14ac:dyDescent="0.4">
      <c r="B70" s="109" t="str">
        <f t="shared" si="9"/>
        <v>Healthcare, 11.4y</v>
      </c>
      <c r="C70" s="107" t="s">
        <v>194</v>
      </c>
      <c r="D70" s="107">
        <v>11.4</v>
      </c>
      <c r="E70" s="110">
        <f t="shared" si="8"/>
        <v>0.38775510204081637</v>
      </c>
    </row>
    <row r="71" spans="2:7" ht="15" customHeight="1" x14ac:dyDescent="0.4">
      <c r="B71" s="109" t="str">
        <f t="shared" si="9"/>
        <v>Consumer Discretionary, 12.4y</v>
      </c>
      <c r="C71" s="107" t="s">
        <v>195</v>
      </c>
      <c r="D71" s="107">
        <v>12.4</v>
      </c>
      <c r="E71" s="110">
        <f t="shared" si="8"/>
        <v>0.42176870748299322</v>
      </c>
    </row>
    <row r="72" spans="2:7" ht="15" customHeight="1" x14ac:dyDescent="0.4">
      <c r="B72" s="109" t="str">
        <f t="shared" si="9"/>
        <v>Consumer Staples, 15.1y</v>
      </c>
      <c r="C72" s="107" t="s">
        <v>196</v>
      </c>
      <c r="D72" s="107">
        <v>15.1</v>
      </c>
      <c r="E72" s="110">
        <f t="shared" si="8"/>
        <v>0.51360544217687076</v>
      </c>
    </row>
    <row r="73" spans="2:7" ht="15" customHeight="1" x14ac:dyDescent="0.4">
      <c r="B73" s="109" t="str">
        <f t="shared" si="9"/>
        <v>Industrials, 15.4y</v>
      </c>
      <c r="C73" s="107" t="s">
        <v>197</v>
      </c>
      <c r="D73" s="107">
        <v>15.4</v>
      </c>
      <c r="E73" s="110">
        <f t="shared" si="8"/>
        <v>0.52380952380952384</v>
      </c>
    </row>
    <row r="74" spans="2:7" ht="15" customHeight="1" x14ac:dyDescent="0.4">
      <c r="B74" s="109" t="str">
        <f t="shared" si="9"/>
        <v>Telecommunication Services, 16.1y</v>
      </c>
      <c r="C74" s="107" t="s">
        <v>198</v>
      </c>
      <c r="D74" s="107">
        <v>16.100000000000001</v>
      </c>
      <c r="E74" s="110">
        <f t="shared" si="8"/>
        <v>0.54761904761904767</v>
      </c>
    </row>
    <row r="75" spans="2:7" ht="15" customHeight="1" x14ac:dyDescent="0.4">
      <c r="B75" s="109" t="str">
        <f t="shared" si="9"/>
        <v>Energy, 17.6y</v>
      </c>
      <c r="C75" s="107" t="s">
        <v>199</v>
      </c>
      <c r="D75" s="107">
        <v>17.600000000000001</v>
      </c>
      <c r="E75" s="110">
        <f t="shared" si="8"/>
        <v>0.59863945578231303</v>
      </c>
    </row>
    <row r="76" spans="2:7" ht="15" customHeight="1" x14ac:dyDescent="0.4">
      <c r="B76" s="109" t="str">
        <f t="shared" si="9"/>
        <v>Materials, 18.6y</v>
      </c>
      <c r="C76" s="107" t="s">
        <v>200</v>
      </c>
      <c r="D76" s="107">
        <v>18.600000000000001</v>
      </c>
      <c r="E76" s="110">
        <f t="shared" si="8"/>
        <v>0.63265306122448983</v>
      </c>
    </row>
    <row r="77" spans="2:7" ht="15" customHeight="1" x14ac:dyDescent="0.4">
      <c r="B77" s="111" t="str">
        <f t="shared" si="9"/>
        <v>Utilities, 29.4y</v>
      </c>
      <c r="C77" s="112" t="s">
        <v>201</v>
      </c>
      <c r="D77" s="112">
        <v>29.4</v>
      </c>
      <c r="E77" s="113">
        <f>D77/MAX($D$69:$D$77)</f>
        <v>1</v>
      </c>
    </row>
  </sheetData>
  <dataConsolidate/>
  <phoneticPr fontId="32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eileen zhang</cp:lastModifiedBy>
  <cp:revision/>
  <cp:lastPrinted>2023-02-17T02:44:16Z</cp:lastPrinted>
  <dcterms:created xsi:type="dcterms:W3CDTF">2022-08-10T03:52:42Z</dcterms:created>
  <dcterms:modified xsi:type="dcterms:W3CDTF">2023-03-29T15:19:50Z</dcterms:modified>
  <cp:category/>
  <cp:contentStatus/>
</cp:coreProperties>
</file>