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2F1BC6A-F8D4-4754-9F39-2583B46BB7D7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9" i="4" l="1"/>
  <c r="D7" i="3"/>
  <c r="E26" i="1"/>
  <c r="C12" i="1"/>
  <c r="C35" i="1"/>
  <c r="B18" i="1" s="1"/>
  <c r="C36" i="1"/>
  <c r="E7" i="3"/>
  <c r="E6" i="1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3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D7" i="4"/>
  <c r="D8" i="4" s="1"/>
  <c r="D9" i="4" s="1"/>
  <c r="D10" i="4" s="1"/>
  <c r="D5" i="4"/>
  <c r="F8" i="4"/>
  <c r="F9" i="4" s="1"/>
  <c r="F15" i="4" s="1"/>
  <c r="F5" i="4"/>
  <c r="E5" i="4"/>
  <c r="E7" i="4"/>
  <c r="E8" i="4" s="1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I36" i="1" s="1"/>
  <c r="E25" i="4"/>
  <c r="G25" i="4" s="1"/>
  <c r="E26" i="4"/>
  <c r="G26" i="4" s="1"/>
  <c r="E29" i="4" s="1"/>
  <c r="G15" i="4" l="1"/>
  <c r="F33" i="4" l="1"/>
  <c r="E33" i="4" l="1"/>
  <c r="C11" i="1"/>
  <c r="D12" i="5"/>
  <c r="D5" i="5" l="1"/>
  <c r="E5" i="5" s="1"/>
  <c r="E64" i="5"/>
  <c r="D64" i="5" l="1"/>
  <c r="E7" i="5" l="1"/>
  <c r="D7" i="5" s="1"/>
  <c r="D8" i="5" s="1"/>
  <c r="E8" i="5" s="1"/>
  <c r="C29" i="4" l="1"/>
  <c r="D29" i="4" s="1"/>
  <c r="D14" i="1" l="1"/>
  <c r="F14" i="1"/>
  <c r="C32" i="4"/>
  <c r="H14" i="1" l="1"/>
  <c r="F32" i="4"/>
  <c r="E32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<sst xmlns="http://schemas.openxmlformats.org/spreadsheetml/2006/main" count="421" uniqueCount="356">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</sst>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10" borderId="13" xfId="0" applyNumberFormat="1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30" sqref="E30:F3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9" t="s">
        <v>303</v>
      </c>
      <c r="D3" s="390"/>
      <c r="E3" s="15"/>
      <c r="G3" s="7" t="s">
        <v>2</v>
      </c>
      <c r="I3" s="399" t="s">
        <v>3</v>
      </c>
      <c r="J3" s="400"/>
    </row>
    <row r="4" spans="1:12" ht="15.75" customHeight="1" x14ac:dyDescent="0.3">
      <c r="B4" s="5" t="s">
        <v>4</v>
      </c>
      <c r="C4" s="391" t="s">
        <v>304</v>
      </c>
      <c r="D4" s="392"/>
      <c r="E4" s="6"/>
      <c r="G4" s="5" t="s">
        <v>5</v>
      </c>
      <c r="I4" s="32">
        <v>10.18</v>
      </c>
      <c r="J4" s="33" t="s">
        <v>6</v>
      </c>
      <c r="K4" s="172"/>
    </row>
    <row r="5" spans="1:12" ht="15.75" customHeight="1" x14ac:dyDescent="0.3">
      <c r="B5" s="5" t="s">
        <v>7</v>
      </c>
      <c r="C5" s="393">
        <v>44956</v>
      </c>
      <c r="D5" s="392"/>
      <c r="E5" s="142" t="str">
        <f ca="1">IF(C5+30&gt;=TODAY(),"Patience Premium","")</f>
        <v/>
      </c>
      <c r="G5" s="5" t="s">
        <v>8</v>
      </c>
      <c r="I5" s="401">
        <v>8061262157</v>
      </c>
      <c r="J5" s="402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03">
        <f>I4*I5/1000000</f>
        <v>82063.648758259995</v>
      </c>
      <c r="J6" s="404"/>
      <c r="K6" s="171"/>
    </row>
    <row r="7" spans="1:12" ht="15.75" customHeight="1" x14ac:dyDescent="0.3">
      <c r="B7" s="159" t="s">
        <v>10</v>
      </c>
      <c r="C7" s="165">
        <f>(Data!C39)/I4</f>
        <v>3.7211201868386772E-2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14.308279455901562</v>
      </c>
      <c r="J9" s="48">
        <f>IF(I9="NNI","NNI",1/I9)</f>
        <v>6.9889605041753788E-2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0.5186400741880185</v>
      </c>
      <c r="J10" s="150">
        <f>IF(Asset_Model!D60/'FCFF Model'!C4&lt;0,"Negative EV",Asset_Model!D60/'FCFF Model'!C4)</f>
        <v>3.9483752515694106</v>
      </c>
    </row>
    <row r="11" spans="1:12" ht="15.75" customHeight="1" thickBot="1" x14ac:dyDescent="0.35">
      <c r="B11" s="332" t="s">
        <v>299</v>
      </c>
      <c r="C11" s="413">
        <f ca="1">C12-D10</f>
        <v>4.1840000000000002E-2</v>
      </c>
      <c r="D11" s="414"/>
      <c r="E11" s="13"/>
      <c r="G11" s="5" t="s">
        <v>15</v>
      </c>
      <c r="H11" s="6"/>
      <c r="I11" s="411" t="s">
        <v>6</v>
      </c>
      <c r="J11" s="412"/>
    </row>
    <row r="12" spans="1:12" ht="15.75" customHeight="1" thickTop="1" x14ac:dyDescent="0.3">
      <c r="B12" s="333" t="s">
        <v>174</v>
      </c>
      <c r="C12" s="367">
        <f ca="1">IF(C10="US",6%,8%)*IF($C$5+30&gt;=TODAY(),1.2,1)</f>
        <v>0.08</v>
      </c>
      <c r="D12" s="368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Model'!C29,'FCFF Model'!E29)</f>
        <v>10.429776905912007</v>
      </c>
      <c r="E14" s="147" t="s">
        <v>259</v>
      </c>
      <c r="F14" s="204">
        <f ca="1">MAX('FCFF Model'!C29,'FCFF Model'!E29)</f>
        <v>11.339169963600042</v>
      </c>
      <c r="G14" s="205" t="s">
        <v>24</v>
      </c>
      <c r="H14" s="213">
        <f ca="1">IF('FCFF Model'!C32&lt;0, "Error", 'FCFF Model'!C32)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10.18</v>
      </c>
      <c r="C16" s="377">
        <v>0.1</v>
      </c>
      <c r="D16" s="179">
        <f ca="1">H14/B16-1-C16</f>
        <v>-2.4830710653387295E-2</v>
      </c>
      <c r="E16" s="372">
        <f>'FCFF Model'!D11*Exchange_Rate</f>
        <v>0.56000000000000005</v>
      </c>
      <c r="F16" s="181">
        <f>E16/B16</f>
        <v>5.5009823182711207E-2</v>
      </c>
      <c r="G16" s="380" t="s">
        <v>25</v>
      </c>
      <c r="H16" s="405">
        <f>('FCFF Model'!G19)*Exchange_Rate</f>
        <v>5.9834442351159485</v>
      </c>
      <c r="I16" s="380" t="s">
        <v>26</v>
      </c>
      <c r="J16" s="226">
        <f>B16-$H$16</f>
        <v>4.1965557648840512</v>
      </c>
    </row>
    <row r="17" spans="1:10" ht="15.75" customHeight="1" x14ac:dyDescent="0.3">
      <c r="B17" s="310">
        <f ca="1">H14/(1+C16)</f>
        <v>9.9502030595895619</v>
      </c>
      <c r="C17" s="378"/>
      <c r="D17" s="309">
        <f ca="1">H14/B17-1-C16</f>
        <v>0</v>
      </c>
      <c r="E17" s="373"/>
      <c r="F17" s="182">
        <f ca="1">E16/B17</f>
        <v>5.6280258467720119E-2</v>
      </c>
      <c r="G17" s="381"/>
      <c r="H17" s="406"/>
      <c r="I17" s="381"/>
      <c r="J17" s="225">
        <f ca="1">B17-$H$16</f>
        <v>3.9667588244736134</v>
      </c>
    </row>
    <row r="18" spans="1:10" ht="15.75" customHeight="1" x14ac:dyDescent="0.3">
      <c r="B18" s="365">
        <f>C35</f>
        <v>9.6</v>
      </c>
      <c r="C18" s="379"/>
      <c r="D18" s="180">
        <f ca="1">H14/B18-1-C16</f>
        <v>4.0127433911304106E-2</v>
      </c>
      <c r="E18" s="374"/>
      <c r="F18" s="183">
        <f>E16/B18</f>
        <v>5.8333333333333341E-2</v>
      </c>
      <c r="G18" s="382"/>
      <c r="H18" s="407"/>
      <c r="I18" s="382"/>
      <c r="J18" s="227">
        <f>B18-$H$16</f>
        <v>3.6165557648840512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6" t="s">
        <v>305</v>
      </c>
      <c r="D21" s="397"/>
      <c r="E21" s="397"/>
      <c r="F21" s="397"/>
      <c r="G21" s="397"/>
      <c r="H21" s="397"/>
      <c r="I21" s="397"/>
      <c r="J21" s="398"/>
    </row>
    <row r="22" spans="1:10" ht="52.5" customHeight="1" x14ac:dyDescent="0.3">
      <c r="A22" s="6"/>
      <c r="B22" s="24" t="s">
        <v>29</v>
      </c>
      <c r="C22" s="409" t="s">
        <v>307</v>
      </c>
      <c r="D22" s="410"/>
      <c r="E22" s="410"/>
      <c r="F22" s="410"/>
      <c r="G22" s="409" t="s">
        <v>309</v>
      </c>
      <c r="H22" s="409"/>
      <c r="I22" s="410"/>
      <c r="J22" s="410"/>
    </row>
    <row r="23" spans="1:10" ht="52.5" customHeight="1" x14ac:dyDescent="0.3">
      <c r="A23" s="6"/>
      <c r="B23" s="25" t="s">
        <v>30</v>
      </c>
      <c r="C23" s="375" t="s">
        <v>308</v>
      </c>
      <c r="D23" s="376"/>
      <c r="E23" s="376"/>
      <c r="F23" s="376"/>
      <c r="G23" s="375" t="s">
        <v>310</v>
      </c>
      <c r="H23" s="375"/>
      <c r="I23" s="376"/>
      <c r="J23" s="37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394">
        <v>44970</v>
      </c>
      <c r="D26" s="395"/>
      <c r="E26" s="386" t="str">
        <f>IF(C26="","","Action_Planning")</f>
        <v>Action_Planning</v>
      </c>
      <c r="F26" s="387"/>
      <c r="G26" s="387"/>
      <c r="H26" s="388"/>
      <c r="I26" s="408" t="s">
        <v>34</v>
      </c>
      <c r="J26" s="408"/>
    </row>
    <row r="27" spans="1:10" ht="15.75" customHeight="1" x14ac:dyDescent="0.3">
      <c r="B27" s="23" t="s">
        <v>35</v>
      </c>
      <c r="C27" s="371">
        <f>C31/D25</f>
        <v>6.8733333333333327E-2</v>
      </c>
      <c r="D27" s="370"/>
      <c r="E27" s="369">
        <f>E31/D25</f>
        <v>9.6000000000000002E-2</v>
      </c>
      <c r="F27" s="370"/>
      <c r="G27" s="384">
        <f>G31/D25</f>
        <v>0.26666666666666666</v>
      </c>
      <c r="H27" s="385"/>
      <c r="I27" s="383">
        <f>C27+E27+G27</f>
        <v>0.43140000000000001</v>
      </c>
      <c r="J27" s="383"/>
    </row>
    <row r="28" spans="1:10" ht="15.75" customHeight="1" x14ac:dyDescent="0.3">
      <c r="B28" s="23" t="s">
        <v>36</v>
      </c>
      <c r="C28" s="419">
        <v>4000</v>
      </c>
      <c r="D28" s="410"/>
      <c r="E28" s="419">
        <v>6000</v>
      </c>
      <c r="F28" s="410"/>
      <c r="G28" s="401">
        <v>20000</v>
      </c>
      <c r="H28" s="402"/>
      <c r="I28" s="418">
        <f>C28+E28+G28</f>
        <v>30000</v>
      </c>
      <c r="J28" s="418"/>
    </row>
    <row r="29" spans="1:10" ht="15.75" customHeight="1" x14ac:dyDescent="0.3">
      <c r="B29" s="23" t="s">
        <v>37</v>
      </c>
      <c r="C29" s="420">
        <v>10.31</v>
      </c>
      <c r="D29" s="410"/>
      <c r="E29" s="420">
        <v>9.6</v>
      </c>
      <c r="F29" s="410"/>
      <c r="G29" s="430">
        <v>8</v>
      </c>
      <c r="H29" s="431"/>
      <c r="I29" s="415"/>
      <c r="J29" s="415"/>
    </row>
    <row r="30" spans="1:10" ht="15.75" customHeight="1" x14ac:dyDescent="0.3">
      <c r="B30" s="23" t="s">
        <v>38</v>
      </c>
      <c r="C30" s="421">
        <f>C29*$I$5/1000000</f>
        <v>83111.61283867</v>
      </c>
      <c r="D30" s="422"/>
      <c r="E30" s="421">
        <f>E29*$I$5/1000000</f>
        <v>77388.116707199995</v>
      </c>
      <c r="F30" s="422"/>
      <c r="G30" s="438">
        <f>G29*$I$5/1000000</f>
        <v>64490.097256000001</v>
      </c>
      <c r="H30" s="439"/>
      <c r="I30" s="416"/>
      <c r="J30" s="416"/>
    </row>
    <row r="31" spans="1:10" ht="15.75" customHeight="1" x14ac:dyDescent="0.3">
      <c r="B31" s="2" t="s">
        <v>39</v>
      </c>
      <c r="C31" s="425">
        <f>C28*C29</f>
        <v>41240</v>
      </c>
      <c r="D31" s="426"/>
      <c r="E31" s="417">
        <f>E28*E29</f>
        <v>57600</v>
      </c>
      <c r="F31" s="427"/>
      <c r="G31" s="440">
        <f>G28*G29</f>
        <v>160000</v>
      </c>
      <c r="H31" s="441"/>
      <c r="I31" s="417">
        <f>C31+E31+G31</f>
        <v>258840</v>
      </c>
      <c r="J31" s="417"/>
    </row>
    <row r="32" spans="1:10" ht="15.75" customHeight="1" x14ac:dyDescent="0.3">
      <c r="B32" s="1" t="s">
        <v>40</v>
      </c>
      <c r="C32" s="423"/>
      <c r="D32" s="424"/>
      <c r="E32" s="428">
        <f>IF(C31=0,"-",(C31+E31)/(C28+E28))</f>
        <v>9.8840000000000003</v>
      </c>
      <c r="F32" s="370"/>
      <c r="G32" s="137"/>
      <c r="H32" s="137"/>
      <c r="I32" s="428">
        <f>IF(I31=0,"",I31/I28)</f>
        <v>8.6280000000000001</v>
      </c>
      <c r="J32" s="428"/>
    </row>
    <row r="33" spans="2:10" ht="15.75" customHeight="1" x14ac:dyDescent="0.3">
      <c r="B33" s="1" t="s">
        <v>41</v>
      </c>
      <c r="C33" s="436"/>
      <c r="D33" s="437"/>
      <c r="E33" s="421">
        <f>IF(E32="-","-",E32*$I$5/1000000)</f>
        <v>79677.515159788003</v>
      </c>
      <c r="F33" s="422"/>
      <c r="G33" s="138"/>
      <c r="H33" s="138"/>
      <c r="I33" s="421">
        <f>IF(I32="","",I32*$I$5/1000000)</f>
        <v>69552.569890596002</v>
      </c>
      <c r="J33" s="421"/>
    </row>
    <row r="34" spans="2:10" ht="15.75" customHeight="1" x14ac:dyDescent="0.3"/>
    <row r="35" spans="2:10" ht="15.75" customHeight="1" x14ac:dyDescent="0.3">
      <c r="B35" s="166" t="s">
        <v>343</v>
      </c>
      <c r="C35" s="432">
        <f>E29</f>
        <v>9.6</v>
      </c>
      <c r="D35" s="433"/>
      <c r="G35" s="434" t="s">
        <v>345</v>
      </c>
      <c r="H35" s="435"/>
      <c r="I35" s="432">
        <f ca="1">'FCFF Model'!C33*0.9</f>
        <v>12.347246296726411</v>
      </c>
      <c r="J35" s="433"/>
    </row>
    <row r="36" spans="2:10" ht="15.75" customHeight="1" x14ac:dyDescent="0.3">
      <c r="B36" s="166" t="s">
        <v>344</v>
      </c>
      <c r="C36" s="419">
        <f>E28</f>
        <v>6000</v>
      </c>
      <c r="D36" s="429"/>
      <c r="G36" s="442" t="s">
        <v>355</v>
      </c>
      <c r="H36" s="442"/>
      <c r="I36" s="443">
        <f ca="1">IF(C26="",0,I35/C29-1)</f>
        <v>0.1975990588483425</v>
      </c>
      <c r="J36" s="44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4" priority="14" operator="lessThan">
      <formula>0</formula>
    </cfRule>
  </conditionalFormatting>
  <conditionalFormatting sqref="E26:H26">
    <cfRule type="containsBlanks" dxfId="13" priority="2">
      <formula>LEN(TRIM(E26))=0</formula>
    </cfRule>
  </conditionalFormatting>
  <conditionalFormatting sqref="H14">
    <cfRule type="cellIs" dxfId="12" priority="6" operator="greaterThan">
      <formula>$B$16</formula>
    </cfRule>
  </conditionalFormatting>
  <conditionalFormatting sqref="H16">
    <cfRule type="cellIs" dxfId="11" priority="9" operator="greaterThan">
      <formula>$B$16</formula>
    </cfRule>
  </conditionalFormatting>
  <conditionalFormatting sqref="I16">
    <cfRule type="cellIs" dxfId="10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5" t="s">
        <v>79</v>
      </c>
      <c r="E49" s="410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6">
        <v>5</v>
      </c>
      <c r="E51" s="447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8" t="s">
        <v>83</v>
      </c>
      <c r="E52" s="449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11" sqref="E11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MAX(((D6+MIN('FCFF Model'!D4,0))*Exchange_Rate*Data!C4)/Dashboard!I5,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50">
        <f>D53+D54+D55</f>
        <v>6739518.3509999998</v>
      </c>
      <c r="E52" s="451"/>
      <c r="F52" s="53"/>
      <c r="G52" s="53"/>
    </row>
    <row r="53" spans="2:9" ht="14.5" thickTop="1" x14ac:dyDescent="0.3">
      <c r="B53" s="79" t="s">
        <v>261</v>
      </c>
      <c r="C53" s="6"/>
      <c r="D53" s="453">
        <f>SUM(I11:I13)+SUM(I28:I30)</f>
        <v>6739518.3509999998</v>
      </c>
      <c r="E53" s="426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58">
        <v>0</v>
      </c>
      <c r="E54" s="410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58">
        <v>0</v>
      </c>
      <c r="E55" s="410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52"/>
      <c r="E57" s="452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56">
        <f>((Dashboard!I6*Data!C4)+D52+E50-C58-C59)</f>
        <v>21097641.395259984</v>
      </c>
      <c r="E60" s="45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443">
        <f>((C26-C11-C12-C14-C15-C16*G16-C19*G19-C20*G20)-I26)/Data!C7</f>
        <v>0.5934554144758829</v>
      </c>
      <c r="E63" s="444"/>
    </row>
    <row r="64" spans="2:9" ht="15" customHeight="1" x14ac:dyDescent="0.3">
      <c r="B64" s="3" t="s">
        <v>292</v>
      </c>
      <c r="D64" s="454">
        <v>8.5599999999999996E-2</v>
      </c>
      <c r="E64" s="455"/>
      <c r="F64" s="286" t="s">
        <v>277</v>
      </c>
    </row>
    <row r="65" spans="2:5" ht="15" customHeight="1" x14ac:dyDescent="0.3">
      <c r="B65" s="312" t="s">
        <v>294</v>
      </c>
      <c r="D65" s="454">
        <v>0.15</v>
      </c>
      <c r="E65" s="45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abSelected="1" zoomScaleNormal="100" zoomScalePageLayoutView="80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61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61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64" t="s">
        <v>256</v>
      </c>
      <c r="F23" s="464"/>
      <c r="G23" s="464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62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63"/>
      <c r="G26" s="227">
        <f ca="1">$F$25+E26+$G$19</f>
        <v>10.429776905912007</v>
      </c>
      <c r="I26" s="95" t="s">
        <v>315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0" t="str">
        <f>"(Numbers in "&amp;Dashboard!J4&amp;" per share)"</f>
        <v>(Numbers in HKD per share)</v>
      </c>
      <c r="D28" s="147"/>
      <c r="E28" s="153"/>
      <c r="F28" s="147"/>
      <c r="G28" s="147"/>
      <c r="H28" s="12"/>
      <c r="I28" s="111"/>
    </row>
    <row r="29" spans="1:9" ht="15.75" customHeight="1" x14ac:dyDescent="0.3">
      <c r="A29" s="6"/>
      <c r="B29" s="92" t="s">
        <v>176</v>
      </c>
      <c r="C29" s="272">
        <f ca="1">MIN(Asset_Model!D7,G25*Exchange_Rate)+(ABS(Asset_Model!D7-G25*Exchange_Rate)*'Qualitative Analysis'!E8)</f>
        <v>11.339169963600042</v>
      </c>
      <c r="D29" s="23" t="str">
        <f ca="1">IF(C29&lt;E29,"&lt;",IF(C29=E29,"=","&gt;"))</f>
        <v>&gt;</v>
      </c>
      <c r="E29" s="271">
        <f ca="1">G26*Exchange_Rate</f>
        <v>10.429776905912007</v>
      </c>
      <c r="F29" s="30"/>
      <c r="H29" s="6"/>
      <c r="I29" s="6"/>
    </row>
    <row r="30" spans="1:9" ht="15.75" customHeight="1" x14ac:dyDescent="0.3">
      <c r="B30" s="6"/>
      <c r="C30" s="143"/>
      <c r="D30" s="143"/>
      <c r="E30" s="143"/>
      <c r="F30" s="143"/>
      <c r="G30" s="144"/>
      <c r="H30" s="6"/>
      <c r="I30" s="109"/>
    </row>
    <row r="31" spans="1:9" ht="15.75" customHeight="1" x14ac:dyDescent="0.3">
      <c r="C31" s="459" t="s">
        <v>177</v>
      </c>
      <c r="D31" s="460"/>
      <c r="E31" s="30" t="s">
        <v>244</v>
      </c>
      <c r="F31" s="30" t="s">
        <v>18</v>
      </c>
      <c r="G31" s="30"/>
      <c r="H31" s="6"/>
    </row>
    <row r="32" spans="1:9" ht="15.75" customHeight="1" x14ac:dyDescent="0.3">
      <c r="B32" s="276" t="s">
        <v>258</v>
      </c>
      <c r="C32" s="273">
        <f ca="1">MIN(C29,E29)+ABS(C29-E29)*'Qualitative Analysis'!$E$64</f>
        <v>10.945223365548518</v>
      </c>
      <c r="D32" s="139" t="str">
        <f>Dashboard!J4</f>
        <v>HKD</v>
      </c>
      <c r="E32" s="140">
        <f ca="1">(C32-G19)/C9</f>
        <v>10.254208122728047</v>
      </c>
      <c r="F32" s="178">
        <f ca="1">C32/(Data!C28*Exchange_Rate*Data!C4/Common_Shares)</f>
        <v>0.55762587999140645</v>
      </c>
      <c r="G32" s="108"/>
      <c r="H32" s="6"/>
      <c r="I32" s="95"/>
    </row>
    <row r="33" spans="2:7" ht="15.75" customHeight="1" x14ac:dyDescent="0.3">
      <c r="B33" s="275" t="s">
        <v>257</v>
      </c>
      <c r="C33" s="274">
        <f ca="1">MAX(Asset_Model!D7,(G12/(1+G33)^G4+F25+G19)*Exchange_Rate)</f>
        <v>13.719162551918235</v>
      </c>
      <c r="D33" s="228" t="str">
        <f>D32</f>
        <v>HKD</v>
      </c>
      <c r="E33" s="140">
        <f ca="1">(C33-G19)/C9</f>
        <v>15.986940070098338</v>
      </c>
      <c r="F33" s="178">
        <f ca="1">C33/(Data!C28*Exchange_Rate*Data!C4/Common_Shares)</f>
        <v>0.69894965458981917</v>
      </c>
      <c r="G33" s="301">
        <f>Dashboard!D10+4.5%</f>
        <v>8.3159999999999998E-2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2023-03-22T10:11:47Z</dcterms:modified>
  <cp:category/>
  <cp:contentStatus/>
</cp:coreProperties>
</file>