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58228DDD-5223-43B9-841E-44EA28D9BEB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D14" i="4" s="1"/>
  <c r="D15" i="4" s="1"/>
  <c r="F25" i="4" s="1"/>
  <c r="E6" i="1"/>
  <c r="C3" i="7"/>
  <c r="F43" i="1"/>
  <c r="F40" i="1"/>
  <c r="E26" i="1"/>
  <c r="C36" i="1"/>
  <c r="B18" i="1"/>
  <c r="E7" i="3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6" i="7"/>
  <c r="D5" i="7"/>
  <c r="G34" i="4"/>
  <c r="E16" i="1"/>
  <c r="C12" i="7"/>
  <c r="E9" i="7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I15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3" i="7"/>
  <c r="I4" i="3"/>
  <c r="D4" i="3"/>
  <c r="D6" i="1"/>
  <c r="C29" i="4"/>
  <c r="C3" i="4"/>
  <c r="E3" i="7"/>
  <c r="C15" i="4"/>
  <c r="B3" i="4"/>
  <c r="C17" i="4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G3" i="7"/>
  <c r="E3" i="4"/>
  <c r="C9" i="7"/>
  <c r="C11" i="7"/>
  <c r="B3" i="7"/>
  <c r="C10" i="7"/>
  <c r="C15" i="7"/>
  <c r="C18" i="7"/>
  <c r="E7" i="7"/>
  <c r="C4" i="4"/>
  <c r="C7" i="4"/>
  <c r="C8" i="4"/>
  <c r="C9" i="4"/>
  <c r="C10" i="4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0" i="7"/>
  <c r="E15" i="7"/>
  <c r="E16" i="7"/>
  <c r="E18" i="7"/>
  <c r="E17" i="7"/>
  <c r="G8" i="7"/>
  <c r="D52" i="3"/>
  <c r="C20" i="4"/>
  <c r="D20" i="4"/>
  <c r="I53" i="3"/>
  <c r="C44" i="3"/>
  <c r="C25" i="3"/>
  <c r="I7" i="3"/>
  <c r="E14" i="7"/>
  <c r="G10" i="7"/>
  <c r="G15" i="7"/>
  <c r="I14" i="7"/>
  <c r="I3" i="7"/>
  <c r="F3" i="4"/>
  <c r="G4" i="4"/>
  <c r="B24" i="4"/>
  <c r="G2" i="4"/>
  <c r="D4" i="4"/>
  <c r="E13" i="7"/>
  <c r="C45" i="3"/>
  <c r="E12" i="3"/>
  <c r="G14" i="7"/>
  <c r="G16" i="7"/>
  <c r="I16" i="7"/>
  <c r="I18" i="7"/>
  <c r="I17" i="7"/>
  <c r="G13" i="7"/>
  <c r="D7" i="4"/>
  <c r="D8" i="4"/>
  <c r="D9" i="4"/>
  <c r="D10" i="4"/>
  <c r="D5" i="4"/>
  <c r="D53" i="5"/>
  <c r="F4" i="4"/>
  <c r="F8" i="4"/>
  <c r="F9" i="4"/>
  <c r="G18" i="7"/>
  <c r="E4" i="4"/>
  <c r="E35" i="3"/>
  <c r="G17" i="7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D65" i="3"/>
  <c r="I6" i="3"/>
  <c r="E58" i="3"/>
  <c r="D58" i="3"/>
  <c r="D36" i="5"/>
  <c r="C33" i="2"/>
  <c r="E33" i="2"/>
  <c r="E34" i="2"/>
  <c r="D33" i="2"/>
  <c r="D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D50" i="3" s="1"/>
  <c r="J44" i="3"/>
  <c r="E6" i="5"/>
  <c r="J26" i="3"/>
  <c r="D18" i="5"/>
  <c r="E18" i="5"/>
  <c r="C21" i="4"/>
  <c r="D21" i="4" s="1"/>
  <c r="G21" i="4" s="1"/>
  <c r="D60" i="3"/>
  <c r="J10" i="1" s="1"/>
  <c r="F16" i="1"/>
  <c r="F13" i="4"/>
  <c r="E13" i="4"/>
  <c r="E14" i="4"/>
  <c r="E15" i="4"/>
  <c r="F14" i="4"/>
  <c r="F18" i="1"/>
  <c r="F15" i="4"/>
  <c r="G8" i="4"/>
  <c r="G9" i="4"/>
  <c r="G12" i="4"/>
  <c r="C11" i="1"/>
  <c r="D12" i="5"/>
  <c r="E64" i="5"/>
  <c r="D5" i="5"/>
  <c r="D64" i="5"/>
  <c r="E7" i="5"/>
  <c r="D7" i="5"/>
  <c r="F41" i="1"/>
  <c r="D8" i="5"/>
  <c r="E8" i="5"/>
  <c r="F39" i="1"/>
  <c r="E5" i="5"/>
  <c r="D6" i="3" l="1"/>
  <c r="G18" i="4"/>
  <c r="G19" i="4" s="1"/>
  <c r="H16" i="1" s="1"/>
  <c r="J18" i="1" s="1"/>
  <c r="D49" i="3"/>
  <c r="G13" i="4"/>
  <c r="G14" i="4" s="1"/>
  <c r="E6" i="3" l="1"/>
  <c r="D7" i="3"/>
  <c r="C34" i="4"/>
  <c r="E34" i="4" s="1"/>
  <c r="J16" i="1"/>
  <c r="E20" i="4"/>
  <c r="G15" i="4"/>
  <c r="E26" i="4"/>
  <c r="G26" i="4" s="1"/>
  <c r="E30" i="4" s="1"/>
  <c r="E27" i="4"/>
  <c r="G27" i="4" s="1"/>
  <c r="E25" i="4"/>
  <c r="G25" i="4" s="1"/>
  <c r="C30" i="4" s="1"/>
  <c r="F34" i="4" l="1"/>
  <c r="C33" i="4"/>
  <c r="D30" i="4"/>
  <c r="F14" i="1"/>
  <c r="I35" i="1" s="1"/>
  <c r="D14" i="1"/>
  <c r="F46" i="1" s="1"/>
  <c r="I36" i="1" l="1"/>
  <c r="F45" i="1"/>
  <c r="F33" i="4"/>
  <c r="H14" i="1"/>
  <c r="E33" i="4"/>
  <c r="F42" i="1" l="1"/>
  <c r="E49" i="1"/>
  <c r="D18" i="1"/>
  <c r="D16" i="1"/>
  <c r="J25" i="1"/>
  <c r="B17" i="1"/>
  <c r="D17" i="1" s="1"/>
  <c r="F49" i="1"/>
  <c r="F17" i="1" l="1"/>
  <c r="J17" i="1"/>
  <c r="E42" i="1"/>
  <c r="F48" i="1" s="1"/>
  <c r="D49" i="1"/>
  <c r="E50" i="1" l="1"/>
  <c r="F50" i="1" s="1"/>
  <c r="C50" i="1"/>
  <c r="B50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<sst xmlns="http://schemas.openxmlformats.org/spreadsheetml/2006/main" count="410" uniqueCount="347">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</sst>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C26" sqref="C26:D26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8" t="s">
        <v>309</v>
      </c>
      <c r="D3" s="399"/>
      <c r="E3" s="15"/>
      <c r="G3" s="7" t="s">
        <v>2</v>
      </c>
      <c r="I3" s="408" t="s">
        <v>3</v>
      </c>
      <c r="J3" s="409"/>
    </row>
    <row r="4" spans="1:12" ht="15.75" customHeight="1">
      <c r="B4" s="5" t="s">
        <v>4</v>
      </c>
      <c r="C4" s="400" t="s">
        <v>310</v>
      </c>
      <c r="D4" s="401"/>
      <c r="E4" s="6"/>
      <c r="G4" s="5" t="s">
        <v>5</v>
      </c>
      <c r="I4" s="32">
        <v>20.45</v>
      </c>
      <c r="J4" s="33" t="s">
        <v>6</v>
      </c>
      <c r="K4" s="152"/>
    </row>
    <row r="5" spans="1:12" ht="15.75" customHeight="1">
      <c r="B5" s="5" t="s">
        <v>7</v>
      </c>
      <c r="C5" s="402">
        <v>44987</v>
      </c>
      <c r="D5" s="401"/>
      <c r="E5" s="122" t="str">
        <f ca="1">IF(C5+30&gt;=TODAY(),"Patience Premium","")</f>
        <v/>
      </c>
      <c r="G5" s="5" t="s">
        <v>8</v>
      </c>
      <c r="I5" s="410">
        <v>7913203590</v>
      </c>
      <c r="J5" s="411"/>
      <c r="K5" s="151"/>
      <c r="L5" s="85"/>
    </row>
    <row r="6" spans="1:12" ht="15.75" customHeight="1">
      <c r="B6" s="12" t="s">
        <v>256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2">
        <f>I4*I5/1000000</f>
        <v>161825.0134155</v>
      </c>
      <c r="J6" s="413"/>
      <c r="K6" s="151"/>
    </row>
    <row r="7" spans="1:12" ht="15.75" customHeight="1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84.409239409504011</v>
      </c>
      <c r="J9" s="48">
        <f>IF(I9="NNI","NNI",1/I9)</f>
        <v>1.1847044316423559E-2</v>
      </c>
    </row>
    <row r="10" spans="1:12" ht="15.75" customHeight="1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5.6466769330285063</v>
      </c>
      <c r="J10" s="130">
        <f>IF(Asset_Model!D60/'FCFF Model'!C4&lt;0,"Negative EV",Asset_Model!D60/'FCFF Model'!C4)</f>
        <v>351.55276103717904</v>
      </c>
    </row>
    <row r="11" spans="1:12" ht="15.75" customHeight="1" thickBot="1">
      <c r="B11" s="312" t="s">
        <v>278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311</v>
      </c>
      <c r="J11" s="421"/>
    </row>
    <row r="12" spans="1:12" ht="15.75" customHeight="1" thickTop="1">
      <c r="B12" s="313" t="s">
        <v>150</v>
      </c>
      <c r="C12" s="376">
        <f ca="1">IF(C10="CN",8%,6%)*IF($C$5+30&gt;=TODAY(),1.2,1)</f>
        <v>0.08</v>
      </c>
      <c r="D12" s="377"/>
      <c r="G12" s="134" t="s">
        <v>16</v>
      </c>
      <c r="H12" s="133"/>
      <c r="I12" s="135">
        <v>1.1265936692555745</v>
      </c>
      <c r="J12" s="136" t="str">
        <f>IF(I11=Dashboard!J4,J4,I11&amp;"/"&amp;Dashboard!J4)</f>
        <v>USD/HKD</v>
      </c>
    </row>
    <row r="13" spans="1:12" ht="15.75" customHeight="1"/>
    <row r="14" spans="1:12" ht="15.75" customHeight="1">
      <c r="A14" s="10"/>
      <c r="B14" s="20" t="s">
        <v>17</v>
      </c>
      <c r="C14" s="127" t="s">
        <v>217</v>
      </c>
      <c r="D14" s="184">
        <f ca="1">MIN('FCFF Model'!C30,'FCFF Model'!E30)</f>
        <v>-2.4825554219921369</v>
      </c>
      <c r="E14" s="127" t="s">
        <v>234</v>
      </c>
      <c r="F14" s="184">
        <f ca="1">MAX('FCFF Model'!C30,'FCFF Model'!E30)</f>
        <v>-1.934748458322046</v>
      </c>
      <c r="G14" s="185" t="s">
        <v>24</v>
      </c>
      <c r="H14" s="193" t="str">
        <f ca="1">IF('FCFF Model'!C33&lt;0, "Error", 'FCFF Model'!C33)</f>
        <v>Error</v>
      </c>
      <c r="I14" s="133"/>
      <c r="J14" s="133"/>
    </row>
    <row r="15" spans="1:12" ht="15.75" customHeight="1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20.45</v>
      </c>
      <c r="C16" s="386">
        <v>0.1</v>
      </c>
      <c r="D16" s="159" t="e">
        <f ca="1">H14/B16-1-C16</f>
        <v>#VALUE!</v>
      </c>
      <c r="E16" s="381">
        <f>'FCFF Model'!D11*Exchange_Rate</f>
        <v>0</v>
      </c>
      <c r="F16" s="161">
        <f>E16/B16</f>
        <v>0</v>
      </c>
      <c r="G16" s="389" t="s">
        <v>25</v>
      </c>
      <c r="H16" s="414">
        <f>('FCFF Model'!G19)*Exchange_Rate</f>
        <v>-6.8220301641242171</v>
      </c>
      <c r="I16" s="389" t="s">
        <v>26</v>
      </c>
      <c r="J16" s="206">
        <f>B16-$H$16</f>
        <v>27.272030164124217</v>
      </c>
    </row>
    <row r="17" spans="1:10" ht="15.75" customHeight="1">
      <c r="B17" s="289" t="e">
        <f ca="1">H14/(1+C16)</f>
        <v>#VALUE!</v>
      </c>
      <c r="C17" s="387"/>
      <c r="D17" s="288" t="e">
        <f ca="1">H14/B17-1-C16</f>
        <v>#VALUE!</v>
      </c>
      <c r="E17" s="382"/>
      <c r="F17" s="162" t="e">
        <f ca="1">E16/B17</f>
        <v>#VALUE!</v>
      </c>
      <c r="G17" s="390"/>
      <c r="H17" s="415"/>
      <c r="I17" s="390"/>
      <c r="J17" s="205" t="e">
        <f ca="1">B17-$H$16</f>
        <v>#VALUE!</v>
      </c>
    </row>
    <row r="18" spans="1:10" ht="15.75" customHeight="1">
      <c r="B18" s="355">
        <f>C35</f>
        <v>15</v>
      </c>
      <c r="C18" s="388"/>
      <c r="D18" s="160" t="e">
        <f ca="1">H14/B18-1-C16</f>
        <v>#VALUE!</v>
      </c>
      <c r="E18" s="383"/>
      <c r="F18" s="163">
        <f>E16/B18</f>
        <v>0</v>
      </c>
      <c r="G18" s="391"/>
      <c r="H18" s="416"/>
      <c r="I18" s="391"/>
      <c r="J18" s="207">
        <f>B18-$H$16</f>
        <v>21.822030164124218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405"/>
      <c r="D21" s="406"/>
      <c r="E21" s="406"/>
      <c r="F21" s="406"/>
      <c r="G21" s="406"/>
      <c r="H21" s="406"/>
      <c r="I21" s="406"/>
      <c r="J21" s="407"/>
    </row>
    <row r="22" spans="1:10" ht="52.5" customHeight="1">
      <c r="A22" s="6"/>
      <c r="B22" s="24" t="s">
        <v>29</v>
      </c>
      <c r="C22" s="418"/>
      <c r="D22" s="419"/>
      <c r="E22" s="419"/>
      <c r="F22" s="419"/>
      <c r="G22" s="418"/>
      <c r="H22" s="418"/>
      <c r="I22" s="419"/>
      <c r="J22" s="419"/>
    </row>
    <row r="23" spans="1:10" ht="52.5" customHeight="1">
      <c r="A23" s="6"/>
      <c r="B23" s="25" t="s">
        <v>30</v>
      </c>
      <c r="C23" s="384"/>
      <c r="D23" s="385"/>
      <c r="E23" s="385"/>
      <c r="F23" s="385"/>
      <c r="G23" s="384"/>
      <c r="H23" s="384"/>
      <c r="I23" s="385"/>
      <c r="J23" s="38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3">
        <v>0.15</v>
      </c>
      <c r="I25" s="30" t="s">
        <v>325</v>
      </c>
      <c r="J25" s="354" t="e">
        <f ca="1">H14/(H25+C16+1)</f>
        <v>#VALUE!</v>
      </c>
    </row>
    <row r="26" spans="1:10" ht="15.75" customHeight="1">
      <c r="B26" s="23" t="s">
        <v>33</v>
      </c>
      <c r="C26" s="403">
        <v>44987</v>
      </c>
      <c r="D26" s="404"/>
      <c r="E26" s="395" t="str">
        <f>IF(C26="","","Action_Planning")</f>
        <v>Action_Planning</v>
      </c>
      <c r="F26" s="396"/>
      <c r="G26" s="396"/>
      <c r="H26" s="397"/>
      <c r="I26" s="417" t="s">
        <v>34</v>
      </c>
      <c r="J26" s="417"/>
    </row>
    <row r="27" spans="1:10" ht="15.75" customHeight="1">
      <c r="B27" s="23" t="s">
        <v>35</v>
      </c>
      <c r="C27" s="380">
        <f>C31/D25</f>
        <v>5.5E-2</v>
      </c>
      <c r="D27" s="379"/>
      <c r="E27" s="378">
        <f>E31/D25</f>
        <v>2.75E-2</v>
      </c>
      <c r="F27" s="379"/>
      <c r="G27" s="393">
        <f>G31/D25</f>
        <v>0</v>
      </c>
      <c r="H27" s="394"/>
      <c r="I27" s="392">
        <f>C27+E27+G27</f>
        <v>8.2500000000000004E-2</v>
      </c>
      <c r="J27" s="392"/>
    </row>
    <row r="28" spans="1:10" ht="15.75" customHeight="1">
      <c r="B28" s="23" t="s">
        <v>36</v>
      </c>
      <c r="C28" s="369">
        <v>2000</v>
      </c>
      <c r="D28" s="419"/>
      <c r="E28" s="369">
        <v>1000</v>
      </c>
      <c r="F28" s="419"/>
      <c r="G28" s="410"/>
      <c r="H28" s="411"/>
      <c r="I28" s="434">
        <f>C28+E28+G28</f>
        <v>3000</v>
      </c>
      <c r="J28" s="434"/>
    </row>
    <row r="29" spans="1:10" ht="15.75" customHeight="1">
      <c r="B29" s="23" t="s">
        <v>37</v>
      </c>
      <c r="C29" s="444">
        <v>16.5</v>
      </c>
      <c r="D29" s="419"/>
      <c r="E29" s="444">
        <v>16.5</v>
      </c>
      <c r="F29" s="419"/>
      <c r="G29" s="424"/>
      <c r="H29" s="425"/>
      <c r="I29" s="430"/>
      <c r="J29" s="430"/>
    </row>
    <row r="30" spans="1:10" ht="15.75" customHeight="1">
      <c r="B30" s="23" t="s">
        <v>38</v>
      </c>
      <c r="C30" s="432">
        <f>C29*$I$5/1000000</f>
        <v>130567.859235</v>
      </c>
      <c r="D30" s="439"/>
      <c r="E30" s="432">
        <f>E29*$I$5/1000000</f>
        <v>130567.859235</v>
      </c>
      <c r="F30" s="439"/>
      <c r="G30" s="426">
        <f>G29*$I$5/1000000</f>
        <v>0</v>
      </c>
      <c r="H30" s="427"/>
      <c r="I30" s="431"/>
      <c r="J30" s="431"/>
    </row>
    <row r="31" spans="1:10" ht="15.75" customHeight="1">
      <c r="B31" s="2" t="s">
        <v>39</v>
      </c>
      <c r="C31" s="440">
        <f>C28*C29</f>
        <v>33000</v>
      </c>
      <c r="D31" s="441"/>
      <c r="E31" s="433">
        <f>E28*E29</f>
        <v>16500</v>
      </c>
      <c r="F31" s="442"/>
      <c r="G31" s="428">
        <f>G28*G29</f>
        <v>0</v>
      </c>
      <c r="H31" s="429"/>
      <c r="I31" s="433">
        <f>C31+E31+G31</f>
        <v>49500</v>
      </c>
      <c r="J31" s="433"/>
    </row>
    <row r="32" spans="1:10" ht="15.75" customHeight="1">
      <c r="B32" s="1" t="s">
        <v>40</v>
      </c>
      <c r="C32" s="435"/>
      <c r="D32" s="436"/>
      <c r="E32" s="443">
        <f>IF(C31=0,"-",(C31+E31)/(C28+E28))</f>
        <v>16.5</v>
      </c>
      <c r="F32" s="379"/>
      <c r="G32" s="117"/>
      <c r="H32" s="117"/>
      <c r="I32" s="443">
        <f>IF(I31=0,"",I31/I28)</f>
        <v>16.5</v>
      </c>
      <c r="J32" s="443"/>
    </row>
    <row r="33" spans="2:11" ht="15.75" customHeight="1">
      <c r="B33" s="1" t="s">
        <v>41</v>
      </c>
      <c r="C33" s="437"/>
      <c r="D33" s="438"/>
      <c r="E33" s="432">
        <f>IF(E32="-","-",E32*$I$5/1000000)</f>
        <v>130567.859235</v>
      </c>
      <c r="F33" s="439"/>
      <c r="G33" s="118"/>
      <c r="H33" s="118"/>
      <c r="I33" s="432">
        <f>IF(I32="","",I32*$I$5/1000000)</f>
        <v>130567.859235</v>
      </c>
      <c r="J33" s="432"/>
    </row>
    <row r="34" spans="2:11" ht="15.75" customHeight="1"/>
    <row r="35" spans="2:11" ht="15.75" customHeight="1">
      <c r="B35" s="146" t="s">
        <v>326</v>
      </c>
      <c r="C35" s="367">
        <v>15</v>
      </c>
      <c r="D35" s="368"/>
      <c r="G35" s="371" t="s">
        <v>328</v>
      </c>
      <c r="H35" s="372"/>
      <c r="I35" s="367">
        <f ca="1">F14</f>
        <v>-1.934748458322046</v>
      </c>
      <c r="J35" s="368"/>
    </row>
    <row r="36" spans="2:11" ht="15.75" customHeight="1">
      <c r="B36" s="146" t="s">
        <v>327</v>
      </c>
      <c r="C36" s="369">
        <f>E28</f>
        <v>1000</v>
      </c>
      <c r="D36" s="370"/>
      <c r="G36" s="373" t="s">
        <v>332</v>
      </c>
      <c r="H36" s="373"/>
      <c r="I36" s="374">
        <f ca="1">I35/C29-1</f>
        <v>-1.1172574823225483</v>
      </c>
      <c r="J36" s="375"/>
    </row>
    <row r="37" spans="2:11" ht="15.75" customHeight="1"/>
    <row r="38" spans="2:11" ht="15.75" customHeight="1">
      <c r="B38" s="21" t="s">
        <v>333</v>
      </c>
      <c r="G38" s="346" t="s">
        <v>141</v>
      </c>
      <c r="H38" s="133"/>
      <c r="I38" s="133"/>
      <c r="J38" s="133"/>
      <c r="K38" s="356"/>
    </row>
    <row r="39" spans="2:11" ht="15.75" customHeight="1">
      <c r="B39" s="3" t="s">
        <v>334</v>
      </c>
      <c r="F39" s="214">
        <f>'Qualitative Analysis'!E8</f>
        <v>0.6</v>
      </c>
      <c r="G39" s="357"/>
      <c r="H39" s="116"/>
      <c r="I39" s="116"/>
      <c r="J39" s="116"/>
    </row>
    <row r="40" spans="2:11" ht="15.75" customHeight="1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>
      <c r="B41" s="3" t="s">
        <v>336</v>
      </c>
      <c r="E41" s="358"/>
      <c r="F41" s="359">
        <f>'Qualitative Analysis'!E64</f>
        <v>0.62807823129251705</v>
      </c>
      <c r="G41" s="357" t="s">
        <v>337</v>
      </c>
      <c r="H41" s="116"/>
      <c r="I41" s="116"/>
      <c r="J41" s="116"/>
    </row>
    <row r="42" spans="2:11" ht="15.75" customHeight="1">
      <c r="B42" s="3" t="s">
        <v>344</v>
      </c>
      <c r="E42" s="358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  <c r="G42" s="74" t="s">
        <v>338</v>
      </c>
      <c r="H42" s="74"/>
      <c r="I42" s="74"/>
      <c r="J42" s="74"/>
    </row>
    <row r="43" spans="2:11" ht="15.75" customHeight="1">
      <c r="B43" s="3" t="s">
        <v>345</v>
      </c>
      <c r="F43" s="360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339</v>
      </c>
      <c r="F45" s="359">
        <f ca="1">I35/C29-1</f>
        <v>-1.1172574823225483</v>
      </c>
    </row>
    <row r="46" spans="2:11" ht="15.75" customHeight="1">
      <c r="B46" s="3" t="s">
        <v>340</v>
      </c>
      <c r="F46" s="359">
        <f ca="1">D14/C29-1</f>
        <v>-1.1504579043631598</v>
      </c>
    </row>
    <row r="47" spans="2:11" ht="15.75" customHeight="1"/>
    <row r="48" spans="2:11" ht="15.75" customHeight="1">
      <c r="B48" s="3" t="s">
        <v>341</v>
      </c>
      <c r="F48" s="214">
        <f ca="1">IF(F45&lt;=0,0,AVERAGE(F39:F41,1-F43,E42))</f>
        <v>0</v>
      </c>
      <c r="G48" s="74"/>
    </row>
    <row r="49" spans="2:8" ht="15.75" customHeight="1">
      <c r="B49" s="3" t="s">
        <v>342</v>
      </c>
      <c r="D49" s="365">
        <f ca="1">IF(F42="Strongly Agree",2,IF(F42="Agree",3,4))</f>
        <v>4</v>
      </c>
      <c r="E49" s="361">
        <f ca="1">F45/ABS(F46)</f>
        <v>-0.97114155857880813</v>
      </c>
      <c r="F49" s="362">
        <f ca="1">IF(F46&gt;=0,100,F45/ABS(F46))</f>
        <v>-0.97114155857880813</v>
      </c>
      <c r="G49" s="74"/>
    </row>
    <row r="50" spans="2:8" ht="15.75" customHeight="1">
      <c r="B50" s="366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63">
        <f ca="1">MIN(E50,H50)</f>
        <v>0</v>
      </c>
      <c r="G50" s="364" t="s">
        <v>343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1" type="noConversion"/>
  <conditionalFormatting sqref="C35:D36">
    <cfRule type="containsBlanks" priority="8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1">
      <formula>LEN(TRIM(C26))=0</formula>
    </cfRule>
  </conditionalFormatting>
  <conditionalFormatting sqref="D16 D18">
    <cfRule type="cellIs" dxfId="16" priority="17" operator="lessThan">
      <formula>0</formula>
    </cfRule>
  </conditionalFormatting>
  <conditionalFormatting sqref="E26:H26">
    <cfRule type="containsBlanks" dxfId="15" priority="4">
      <formula>LEN(TRIM(E26))=0</formula>
    </cfRule>
  </conditionalFormatting>
  <conditionalFormatting sqref="H14">
    <cfRule type="cellIs" dxfId="14" priority="9" operator="greaterThan">
      <formula>$B$16</formula>
    </cfRule>
  </conditionalFormatting>
  <conditionalFormatting sqref="H16">
    <cfRule type="cellIs" dxfId="13" priority="12" operator="greaterThan">
      <formula>$B$16</formula>
    </cfRule>
  </conditionalFormatting>
  <conditionalFormatting sqref="I16">
    <cfRule type="cellIs" dxfId="12" priority="27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6">
      <formula>LEN(TRIM(K38))=0</formula>
    </cfRule>
  </conditionalFormatting>
  <conditionalFormatting sqref="F49">
    <cfRule type="cellIs" dxfId="11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  <dataValidation type="list" allowBlank="1" showInputMessage="1" showErrorMessage="1" sqref="B50" xr:uid="{DEE1BB77-F519-40F7-88AF-04079DCED2DE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300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B40" sqref="B4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>
      <c r="B3" s="5" t="s">
        <v>259</v>
      </c>
      <c r="C3" s="6"/>
      <c r="D3" s="273">
        <v>28961421</v>
      </c>
      <c r="E3" s="156" t="str">
        <f>IF((C46-I46)=D3,"", "Error!")</f>
        <v/>
      </c>
      <c r="F3" s="6"/>
      <c r="G3" s="6"/>
      <c r="H3" s="274" t="s">
        <v>260</v>
      </c>
      <c r="I3" s="275">
        <v>19149976</v>
      </c>
      <c r="K3" s="74"/>
    </row>
    <row r="4" spans="1:11" ht="15" customHeight="1">
      <c r="B4" s="5" t="s">
        <v>226</v>
      </c>
      <c r="C4" s="6"/>
      <c r="D4" s="276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2.7263599985295195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-44221239.951177873</v>
      </c>
      <c r="E6" s="14">
        <f>1-D6/D3</f>
        <v>2.5269015961329337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>
      <c r="B7" s="53" t="s">
        <v>85</v>
      </c>
      <c r="D7" s="61">
        <f>MAX((D6*Exchange_Rate*Data!C4)/Dashboard!I5, 0)</f>
        <v>0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>
      <c r="D8" s="6"/>
      <c r="H8" s="3" t="s">
        <v>331</v>
      </c>
      <c r="I8" s="69">
        <f>C24/I26</f>
        <v>1.1367089973436031</v>
      </c>
      <c r="K8" s="74"/>
    </row>
    <row r="9" spans="1:11" ht="15" customHeight="1">
      <c r="A9" s="4"/>
      <c r="B9" s="268" t="s">
        <v>255</v>
      </c>
      <c r="C9" s="255"/>
      <c r="D9" s="271">
        <v>44926</v>
      </c>
      <c r="E9" s="290" t="s">
        <v>346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>
      <c r="C27" s="6"/>
      <c r="D27" s="6"/>
      <c r="E27" s="6"/>
      <c r="F27" s="30" t="s">
        <v>242</v>
      </c>
      <c r="G27" s="6"/>
      <c r="I27" s="6"/>
      <c r="J27" s="6"/>
    </row>
    <row r="28" spans="2:10" ht="15" customHeight="1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134</v>
      </c>
      <c r="C48" s="21"/>
      <c r="D48" s="52"/>
    </row>
    <row r="49" spans="2:9" ht="14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>
      <c r="B50" s="5" t="s">
        <v>209</v>
      </c>
      <c r="C50" s="218">
        <f>D4</f>
        <v>9811445</v>
      </c>
      <c r="D50" s="214">
        <f>IF(E50=0, 0,E50/C50)</f>
        <v>5.6466769330285063</v>
      </c>
      <c r="E50" s="218">
        <f>MAX(C50,C50*Dashboard!I10)</f>
        <v>55402060.161177874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266</v>
      </c>
      <c r="C52" s="5"/>
      <c r="D52" s="445">
        <f>D53+D54+D55</f>
        <v>8694432</v>
      </c>
      <c r="E52" s="446"/>
      <c r="F52" s="53"/>
      <c r="G52" s="53"/>
    </row>
    <row r="53" spans="2:9" ht="14.5" thickTop="1">
      <c r="B53" s="58" t="s">
        <v>236</v>
      </c>
      <c r="C53" s="6"/>
      <c r="D53" s="448">
        <f>SUM(I11:I13)+SUM(I28:I30)</f>
        <v>8694432</v>
      </c>
      <c r="E53" s="441"/>
      <c r="F53" s="5"/>
      <c r="G53" s="5"/>
      <c r="H53" s="3" t="s">
        <v>273</v>
      </c>
      <c r="I53" s="14">
        <f>D53/I3</f>
        <v>0.45401790581878537</v>
      </c>
    </row>
    <row r="54" spans="2:9" ht="14">
      <c r="B54" s="58" t="s">
        <v>136</v>
      </c>
      <c r="C54" s="6"/>
      <c r="D54" s="453">
        <v>0</v>
      </c>
      <c r="E54" s="419"/>
      <c r="F54" s="6" t="s">
        <v>137</v>
      </c>
      <c r="G54" s="6"/>
    </row>
    <row r="55" spans="2:9" ht="12.75" customHeight="1">
      <c r="B55" s="58" t="s">
        <v>135</v>
      </c>
      <c r="C55" s="6"/>
      <c r="D55" s="453">
        <v>0</v>
      </c>
      <c r="E55" s="419"/>
      <c r="F55" s="5" t="s">
        <v>138</v>
      </c>
      <c r="G55" s="5"/>
    </row>
    <row r="56" spans="2:9" ht="15" customHeight="1">
      <c r="D56" s="6"/>
      <c r="E56" s="6"/>
    </row>
    <row r="57" spans="2:9" ht="14">
      <c r="B57" s="75" t="s">
        <v>139</v>
      </c>
      <c r="C57" s="5"/>
      <c r="D57" s="447"/>
      <c r="E57" s="447"/>
      <c r="F57" s="19"/>
      <c r="G57" s="19"/>
    </row>
    <row r="58" spans="2:9" ht="15" customHeight="1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>
      <c r="B60" s="53" t="s">
        <v>140</v>
      </c>
      <c r="C60" s="6"/>
      <c r="D60" s="451">
        <f>((Dashboard!I6*Data!C4)+D52+E50-C58-C59)</f>
        <v>205108624.57667786</v>
      </c>
      <c r="E60" s="452"/>
      <c r="F60" s="6"/>
      <c r="G60" s="6"/>
    </row>
    <row r="61" spans="2:9" ht="15" customHeight="1">
      <c r="D61" s="6"/>
      <c r="E61" s="6"/>
    </row>
    <row r="62" spans="2:9" ht="15" customHeight="1">
      <c r="B62" s="291" t="s">
        <v>265</v>
      </c>
    </row>
    <row r="63" spans="2:9" ht="15" customHeight="1">
      <c r="B63" s="3" t="s">
        <v>268</v>
      </c>
      <c r="D63" s="374">
        <f>((C26-C11-C12-C14-C15-C16*G16-C19*G19-C20*G20)-I26)/Data!C7</f>
        <v>-0.64687443506582265</v>
      </c>
      <c r="E63" s="375"/>
    </row>
    <row r="64" spans="2:9" ht="15" customHeight="1">
      <c r="B64" s="3" t="s">
        <v>267</v>
      </c>
      <c r="D64" s="449">
        <v>6.3399999999999998E-2</v>
      </c>
      <c r="E64" s="450"/>
      <c r="F64" s="266" t="s">
        <v>252</v>
      </c>
    </row>
    <row r="65" spans="2:5" ht="15" customHeight="1">
      <c r="B65" s="291" t="s">
        <v>269</v>
      </c>
      <c r="D65" s="449">
        <f>D63</f>
        <v>-0.64687443506582265</v>
      </c>
      <c r="E65" s="45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E1E596CF-4722-4837-A6B9-F8766C2AC2AB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1000USD)</v>
      </c>
      <c r="C3" s="277">
        <f>Dashboard!E6</f>
        <v>44926</v>
      </c>
      <c r="D3" s="28" t="s">
        <v>251</v>
      </c>
      <c r="E3" s="277">
        <f>EOMONTH(EDATE(C3,12),0)</f>
        <v>45291</v>
      </c>
      <c r="F3" s="28" t="s">
        <v>251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>
      <c r="B4" s="292" t="s">
        <v>313</v>
      </c>
      <c r="C4" s="293">
        <v>4982237</v>
      </c>
      <c r="D4" s="260">
        <f>C4/C6</f>
        <v>0.91532876780782757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314</v>
      </c>
      <c r="C5" s="293">
        <v>460875</v>
      </c>
      <c r="D5" s="260">
        <f>C5/C6</f>
        <v>8.4671232192172416E-2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5" t="s">
        <v>143</v>
      </c>
      <c r="C6" s="180">
        <f>C4+C5</f>
        <v>5443112</v>
      </c>
      <c r="D6" s="259"/>
      <c r="E6" s="337">
        <f>1621300+1907000+3745058</f>
        <v>7273358</v>
      </c>
      <c r="F6" s="259"/>
      <c r="G6" s="337"/>
      <c r="H6" s="259"/>
      <c r="I6" s="228"/>
      <c r="J6" s="287"/>
      <c r="K6" s="6"/>
      <c r="L6" s="74" t="s">
        <v>270</v>
      </c>
      <c r="M6" s="57"/>
    </row>
    <row r="7" spans="1:13" ht="15.75" customHeight="1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29"/>
      <c r="K9" s="6"/>
      <c r="L9" s="74"/>
    </row>
    <row r="10" spans="1:13" ht="15.75" customHeight="1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0"/>
      <c r="K11" s="6"/>
      <c r="L11" s="74"/>
    </row>
    <row r="12" spans="1:13" ht="15.75" customHeight="1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1"/>
      <c r="K12" s="6"/>
      <c r="L12" s="74"/>
    </row>
    <row r="13" spans="1:13" ht="15.75" customHeight="1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>
      <c r="B15" s="134" t="s">
        <v>247</v>
      </c>
      <c r="C15" s="319">
        <f>C10-C12</f>
        <v>777915</v>
      </c>
      <c r="D15" s="320"/>
      <c r="E15" s="319">
        <f>E10-E12</f>
        <v>1675981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>
      <c r="B17" s="324" t="s">
        <v>307</v>
      </c>
      <c r="C17" s="264">
        <f>C18/C8</f>
        <v>0.15486681325985271</v>
      </c>
      <c r="D17" s="326"/>
      <c r="E17" s="325">
        <f>E18/E8</f>
        <v>0.27860974378252146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>
      <c r="B18" s="321" t="s">
        <v>80</v>
      </c>
      <c r="C18" s="322">
        <f>IF(C15&lt;=0,C15,C15*(1-C16))</f>
        <v>583436.25</v>
      </c>
      <c r="D18" s="322"/>
      <c r="E18" s="323">
        <f>IF(E15="","",IF(E15&lt;=0,E15,E15*(1-E16)))</f>
        <v>1256985.75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priority="11">
      <formula>LEN(TRIM(G7))=0</formula>
    </cfRule>
    <cfRule type="containsBlanks" dxfId="4" priority="10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priority="7">
      <formula>LEN(TRIM(I7))=0</formula>
    </cfRule>
    <cfRule type="containsBlanks" dxfId="2" priority="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1000USD)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271</v>
      </c>
      <c r="C7" s="309">
        <f>C4*C6</f>
        <v>225323.07975</v>
      </c>
      <c r="D7" s="309">
        <f>D4*D6</f>
        <v>485447.89665000001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>
      <c r="B9" s="203" t="s">
        <v>218</v>
      </c>
      <c r="C9" s="193">
        <f>C8/(Common_Shares/Data!$C$4)</f>
        <v>4.5255144288534596E-2</v>
      </c>
      <c r="D9" s="305">
        <f>D8/(Common_Shares/Data!$C$4)</f>
        <v>9.7500063605718501E-2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9.7500063605718501E-2</v>
      </c>
      <c r="H9" s="82"/>
      <c r="I9" s="56"/>
      <c r="J9" s="56"/>
    </row>
    <row r="10" spans="1:10" ht="15.75" customHeight="1">
      <c r="B10" s="234" t="s">
        <v>248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262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280</v>
      </c>
      <c r="C12" s="236">
        <v>0</v>
      </c>
      <c r="D12" s="236">
        <v>0</v>
      </c>
      <c r="E12" s="345"/>
      <c r="F12" s="345"/>
      <c r="G12" s="230">
        <f>G9*D27</f>
        <v>5.3625034983145179</v>
      </c>
      <c r="H12" s="82"/>
      <c r="I12" s="56"/>
      <c r="J12" s="56"/>
    </row>
    <row r="13" spans="1:10" ht="15.75" customHeight="1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303</v>
      </c>
      <c r="C15" s="237">
        <f>C12</f>
        <v>0</v>
      </c>
      <c r="D15" s="195">
        <f ca="1">IF(D12="","",MAX(D9-D11+D12,D12)/D14)</f>
        <v>9.027783667196157E-2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4.5974824231091542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-47917998.351177871</v>
      </c>
    </row>
    <row r="19" spans="1:9" ht="15.75" customHeight="1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-6.055448694853796</v>
      </c>
    </row>
    <row r="20" spans="1:9" ht="15.75" customHeight="1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6" t="str">
        <f>IF(F21+G21=G19,"⇒","Error!")</f>
        <v>⇒</v>
      </c>
      <c r="F20" s="146" t="s">
        <v>246</v>
      </c>
      <c r="G20" s="87" t="s">
        <v>23</v>
      </c>
    </row>
    <row r="21" spans="1:9" ht="15.75" customHeight="1">
      <c r="B21" s="85" t="s">
        <v>240</v>
      </c>
      <c r="C21" s="84">
        <f>-Asset_Model!E50</f>
        <v>-55402060.161177874</v>
      </c>
      <c r="D21" s="219">
        <f>C21/(Dashboard!I5/Data!C4)</f>
        <v>-7.0012175891935913</v>
      </c>
      <c r="E21" s="456"/>
      <c r="F21" s="148">
        <f>D18</f>
        <v>0.95991278040655081</v>
      </c>
      <c r="G21" s="147">
        <f>SUM(D19:D21)</f>
        <v>-7.015361475260347</v>
      </c>
    </row>
    <row r="22" spans="1:9" ht="15.75" customHeight="1">
      <c r="F22" s="6"/>
      <c r="G22" s="6"/>
    </row>
    <row r="23" spans="1:9" ht="15.75" customHeight="1">
      <c r="B23" s="26" t="s">
        <v>224</v>
      </c>
      <c r="C23" s="194" t="str">
        <f>B3</f>
        <v>(Numbers in 1000USD)</v>
      </c>
      <c r="E23" s="460" t="s">
        <v>231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>
      <c r="B25" s="30" t="s">
        <v>301</v>
      </c>
      <c r="C25" s="14">
        <f>1/D25</f>
        <v>0.05</v>
      </c>
      <c r="D25" s="297">
        <v>20</v>
      </c>
      <c r="E25" s="206">
        <f ca="1">G9*D25/G14</f>
        <v>1.6718117902215106</v>
      </c>
      <c r="F25" s="457">
        <f ca="1">SUM(C15:F15)</f>
        <v>9.027783667196157E-2</v>
      </c>
      <c r="G25" s="206">
        <f ca="1">$F$25+E25+$G$19</f>
        <v>-4.2933590679603242</v>
      </c>
      <c r="I25" s="74"/>
    </row>
    <row r="26" spans="1:9" ht="15.75" customHeight="1">
      <c r="B26" s="30" t="s">
        <v>302</v>
      </c>
      <c r="C26" s="349">
        <f>1/D26</f>
        <v>2.2222222222222223E-2</v>
      </c>
      <c r="D26" s="350">
        <v>45</v>
      </c>
      <c r="E26" s="351">
        <f ca="1">G9*D26/G14</f>
        <v>3.7615765279983986</v>
      </c>
      <c r="F26" s="458"/>
      <c r="G26" s="351">
        <f ca="1">$F$25+E26+$G$19</f>
        <v>-2.203594330183436</v>
      </c>
      <c r="I26" s="74" t="s">
        <v>317</v>
      </c>
    </row>
    <row r="27" spans="1:9" ht="15.75" customHeight="1">
      <c r="B27" s="301" t="s">
        <v>315</v>
      </c>
      <c r="C27" s="302">
        <f t="shared" ref="C27" si="0">1/D27</f>
        <v>1.8181818181818181E-2</v>
      </c>
      <c r="D27" s="314">
        <v>55</v>
      </c>
      <c r="E27" s="207">
        <f ca="1">G9*D27/G14</f>
        <v>4.5974824231091542</v>
      </c>
      <c r="F27" s="459"/>
      <c r="G27" s="207">
        <f ca="1">$F$25+E27+$G$19</f>
        <v>-1.3676884350726803</v>
      </c>
      <c r="I27" s="74" t="s">
        <v>316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>
      <c r="A30" s="6"/>
      <c r="B30" s="71" t="s">
        <v>152</v>
      </c>
      <c r="C30" s="252">
        <f ca="1">MIN(Asset_Model!D7,G25*Exchange_Rate)+(ABS(Asset_Model!D7-G25*Exchange_Rate)*'Qualitative Analysis'!E8)</f>
        <v>-1.934748458322046</v>
      </c>
      <c r="D30" s="23" t="str">
        <f ca="1">IF(C30&lt;E30,"&lt;",IF(C30=E30,"=","&gt;"))</f>
        <v>&gt;</v>
      </c>
      <c r="E30" s="251">
        <f ca="1">G26*Exchange_Rate</f>
        <v>-2.4825554219921369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4" t="s">
        <v>153</v>
      </c>
      <c r="D32" s="455"/>
      <c r="E32" s="30" t="s">
        <v>219</v>
      </c>
      <c r="F32" s="30" t="s">
        <v>18</v>
      </c>
      <c r="G32" s="30"/>
      <c r="H32" s="6"/>
    </row>
    <row r="33" spans="2:9" ht="15.75" customHeight="1">
      <c r="B33" s="256" t="s">
        <v>233</v>
      </c>
      <c r="C33" s="253">
        <f ca="1">MIN(C30,E30)+ABS(C30-E30)*'Qualitative Analysis'!$E$64</f>
        <v>-2.138489793160502</v>
      </c>
      <c r="D33" s="119" t="str">
        <f>Dashboard!J4</f>
        <v>HKD</v>
      </c>
      <c r="E33" s="120">
        <f ca="1">(C33-G19)/C9</f>
        <v>86.55278782716546</v>
      </c>
      <c r="F33" s="158">
        <f ca="1">C33/(Data!C28*Exchange_Rate*Data!C4/Common_Shares)</f>
        <v>-0.59048219983160433</v>
      </c>
      <c r="G33" s="87"/>
      <c r="H33" s="6"/>
      <c r="I33" s="74"/>
    </row>
    <row r="34" spans="2:9" ht="15.75" customHeight="1">
      <c r="B34" s="255" t="s">
        <v>232</v>
      </c>
      <c r="C34" s="254">
        <f ca="1">MAX(Asset_Model!D7,(G12/(1+G34)^G4+F25+G19)*Exchange_Rate)</f>
        <v>0</v>
      </c>
      <c r="D34" s="208" t="str">
        <f>D33</f>
        <v>HKD</v>
      </c>
      <c r="E34" s="120">
        <f ca="1">(C34-G19)/C9</f>
        <v>133.80685864674052</v>
      </c>
      <c r="F34" s="158">
        <f ca="1">C34/(Data!C28*Exchange_Rate*Data!C4/Common_Shares)</f>
        <v>0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7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154</v>
      </c>
      <c r="C2" s="95"/>
      <c r="D2" s="12"/>
      <c r="E2" s="12"/>
      <c r="G2" s="72" t="s">
        <v>141</v>
      </c>
    </row>
    <row r="3" spans="1:7" ht="14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158</v>
      </c>
      <c r="C10" s="20"/>
      <c r="D10" s="20"/>
      <c r="E10" s="12"/>
      <c r="G10" s="294"/>
    </row>
    <row r="11" spans="1:7" ht="15" customHeight="1">
      <c r="B11" s="99" t="s">
        <v>159</v>
      </c>
      <c r="C11" s="93"/>
      <c r="E11" s="6"/>
      <c r="G11" s="294"/>
    </row>
    <row r="12" spans="1:7" ht="15" customHeight="1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4" t="s">
        <v>319</v>
      </c>
    </row>
    <row r="13" spans="1:7" ht="15" customHeight="1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4"/>
    </row>
    <row r="14" spans="1:7" ht="15" customHeight="1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4"/>
    </row>
    <row r="15" spans="1:7" ht="15" customHeight="1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>
      <c r="B17" s="99" t="s">
        <v>166</v>
      </c>
      <c r="D17" s="38"/>
      <c r="E17" s="23"/>
      <c r="G17" s="294"/>
    </row>
    <row r="18" spans="2:7" ht="15" customHeight="1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 t="s">
        <v>320</v>
      </c>
    </row>
    <row r="20" spans="2:7" ht="15" customHeight="1">
      <c r="B20" s="53" t="s">
        <v>168</v>
      </c>
      <c r="D20" s="100">
        <f t="shared" si="1"/>
        <v>0</v>
      </c>
      <c r="E20" s="31" t="s">
        <v>178</v>
      </c>
      <c r="F20" s="6"/>
      <c r="G20" s="294"/>
    </row>
    <row r="21" spans="2:7" ht="15" customHeight="1">
      <c r="B21" s="53" t="s">
        <v>169</v>
      </c>
      <c r="D21" s="100">
        <f t="shared" si="1"/>
        <v>4</v>
      </c>
      <c r="E21" s="31" t="s">
        <v>165</v>
      </c>
      <c r="F21" s="6"/>
      <c r="G21" s="294"/>
    </row>
    <row r="22" spans="2:7" ht="15" customHeight="1">
      <c r="B22" s="53" t="s">
        <v>170</v>
      </c>
      <c r="D22" s="100">
        <f t="shared" si="1"/>
        <v>3</v>
      </c>
      <c r="E22" s="31" t="s">
        <v>156</v>
      </c>
      <c r="F22" s="6"/>
      <c r="G22" s="294"/>
    </row>
    <row r="23" spans="2:7" ht="15" customHeight="1">
      <c r="B23" s="99" t="s">
        <v>171</v>
      </c>
      <c r="D23" s="38"/>
      <c r="E23" s="23"/>
      <c r="G23" s="294"/>
    </row>
    <row r="24" spans="2:7" ht="15" customHeight="1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4" t="s">
        <v>321</v>
      </c>
    </row>
    <row r="25" spans="2:7" ht="15" customHeight="1">
      <c r="B25" s="53" t="s">
        <v>173</v>
      </c>
      <c r="D25" s="100">
        <f t="shared" si="2"/>
        <v>3</v>
      </c>
      <c r="E25" s="31" t="s">
        <v>156</v>
      </c>
      <c r="F25" s="6"/>
      <c r="G25" s="294" t="s">
        <v>322</v>
      </c>
    </row>
    <row r="26" spans="2:7" ht="15" customHeight="1">
      <c r="B26" s="53" t="s">
        <v>287</v>
      </c>
      <c r="D26" s="100">
        <f t="shared" si="2"/>
        <v>2</v>
      </c>
      <c r="E26" s="31" t="s">
        <v>155</v>
      </c>
      <c r="F26" s="6"/>
      <c r="G26" s="294"/>
    </row>
    <row r="27" spans="2:7" ht="15" customHeight="1">
      <c r="B27" s="53" t="s">
        <v>288</v>
      </c>
      <c r="D27" s="100">
        <f t="shared" si="2"/>
        <v>2</v>
      </c>
      <c r="E27" s="31" t="s">
        <v>155</v>
      </c>
      <c r="F27" s="6"/>
      <c r="G27" s="294"/>
    </row>
    <row r="28" spans="2:7" ht="15" customHeight="1">
      <c r="B28" s="53" t="s">
        <v>174</v>
      </c>
      <c r="D28" s="100">
        <f t="shared" si="2"/>
        <v>2</v>
      </c>
      <c r="E28" s="31" t="s">
        <v>155</v>
      </c>
      <c r="F28" s="6"/>
      <c r="G28" s="294"/>
    </row>
    <row r="29" spans="2:7" ht="15" customHeight="1">
      <c r="B29" s="99" t="s">
        <v>175</v>
      </c>
      <c r="D29" s="38"/>
      <c r="E29" s="23"/>
      <c r="G29" s="294"/>
    </row>
    <row r="30" spans="2:7" ht="15" customHeight="1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>
      <c r="B32" s="53" t="s">
        <v>289</v>
      </c>
      <c r="D32" s="100">
        <f t="shared" si="3"/>
        <v>0</v>
      </c>
      <c r="E32" s="31" t="s">
        <v>178</v>
      </c>
      <c r="F32" s="6"/>
      <c r="G32" s="294"/>
    </row>
    <row r="33" spans="2:7" ht="15" customHeight="1">
      <c r="B33" s="53" t="s">
        <v>290</v>
      </c>
      <c r="D33" s="100">
        <f t="shared" si="3"/>
        <v>0</v>
      </c>
      <c r="E33" s="31" t="s">
        <v>178</v>
      </c>
      <c r="F33" s="6"/>
      <c r="G33" s="294"/>
    </row>
    <row r="34" spans="2:7" ht="15" customHeight="1">
      <c r="B34" s="53" t="s">
        <v>291</v>
      </c>
      <c r="D34" s="100">
        <f t="shared" si="3"/>
        <v>0</v>
      </c>
      <c r="E34" s="31" t="s">
        <v>178</v>
      </c>
      <c r="F34" s="6"/>
      <c r="G34" s="294"/>
    </row>
    <row r="35" spans="2:7" ht="15" customHeight="1">
      <c r="B35" s="53" t="s">
        <v>308</v>
      </c>
      <c r="D35" s="100">
        <f t="shared" si="3"/>
        <v>0</v>
      </c>
      <c r="E35" s="31" t="s">
        <v>178</v>
      </c>
      <c r="G35" s="294"/>
    </row>
    <row r="36" spans="2:7" ht="15" customHeight="1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4"/>
    </row>
    <row r="38" spans="2:7" ht="15" customHeight="1">
      <c r="B38" s="53" t="s">
        <v>292</v>
      </c>
      <c r="D38" s="100">
        <f t="shared" si="4"/>
        <v>4</v>
      </c>
      <c r="E38" s="31" t="s">
        <v>165</v>
      </c>
      <c r="F38" s="6"/>
      <c r="G38" s="294"/>
    </row>
    <row r="39" spans="2:7" ht="15" customHeight="1">
      <c r="B39" s="53" t="s">
        <v>293</v>
      </c>
      <c r="D39" s="100">
        <f t="shared" si="4"/>
        <v>4</v>
      </c>
      <c r="E39" s="31" t="s">
        <v>165</v>
      </c>
      <c r="F39" s="6"/>
      <c r="G39" s="294"/>
    </row>
    <row r="40" spans="2:7" ht="15" customHeight="1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>
      <c r="B41" s="53" t="s">
        <v>295</v>
      </c>
      <c r="D41" s="100">
        <f t="shared" si="4"/>
        <v>1</v>
      </c>
      <c r="E41" s="31" t="s">
        <v>163</v>
      </c>
      <c r="G41" s="294"/>
    </row>
    <row r="42" spans="2:7" ht="15" customHeight="1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4"/>
    </row>
    <row r="44" spans="2:7" ht="15" customHeight="1">
      <c r="B44" s="53" t="s">
        <v>183</v>
      </c>
      <c r="D44" s="100">
        <f t="shared" si="5"/>
        <v>0</v>
      </c>
      <c r="E44" s="31" t="s">
        <v>178</v>
      </c>
      <c r="F44" s="6"/>
      <c r="G44" s="294"/>
    </row>
    <row r="45" spans="2:7" ht="15" customHeight="1">
      <c r="B45" s="53" t="s">
        <v>184</v>
      </c>
      <c r="D45" s="100">
        <f t="shared" si="5"/>
        <v>0</v>
      </c>
      <c r="E45" s="31" t="s">
        <v>178</v>
      </c>
      <c r="F45" s="6"/>
      <c r="G45" s="294"/>
    </row>
    <row r="46" spans="2:7" ht="15" customHeight="1">
      <c r="B46" s="53" t="s">
        <v>185</v>
      </c>
      <c r="D46" s="100">
        <f t="shared" si="5"/>
        <v>1</v>
      </c>
      <c r="E46" s="31" t="s">
        <v>163</v>
      </c>
      <c r="F46" s="6"/>
      <c r="G46" s="294" t="s">
        <v>323</v>
      </c>
    </row>
    <row r="47" spans="2:7" ht="15" customHeight="1">
      <c r="B47" s="53" t="s">
        <v>186</v>
      </c>
      <c r="D47" s="100">
        <f t="shared" si="5"/>
        <v>3</v>
      </c>
      <c r="E47" s="31" t="s">
        <v>156</v>
      </c>
      <c r="F47" s="6"/>
      <c r="G47" s="294"/>
    </row>
    <row r="48" spans="2:7" ht="15" customHeight="1">
      <c r="B48" s="53" t="s">
        <v>212</v>
      </c>
      <c r="D48" s="100">
        <f t="shared" si="5"/>
        <v>0</v>
      </c>
      <c r="E48" s="31" t="s">
        <v>178</v>
      </c>
      <c r="F48" s="6"/>
      <c r="G48" s="294"/>
    </row>
    <row r="49" spans="2:8" ht="15" customHeight="1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>
      <c r="B52" s="53" t="s">
        <v>296</v>
      </c>
      <c r="D52" s="100">
        <f t="shared" si="6"/>
        <v>2</v>
      </c>
      <c r="E52" s="31" t="s">
        <v>155</v>
      </c>
      <c r="G52" s="294"/>
    </row>
    <row r="53" spans="2:8" ht="15" customHeight="1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4"/>
      <c r="H53" s="53"/>
    </row>
    <row r="54" spans="2:8" ht="15" customHeight="1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4"/>
      <c r="H54" s="53"/>
    </row>
    <row r="55" spans="2:8" ht="15" customHeight="1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4"/>
      <c r="H56" s="53"/>
    </row>
    <row r="57" spans="2:8" ht="15" customHeight="1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>
      <c r="B58" s="53" t="s">
        <v>213</v>
      </c>
      <c r="D58" s="100">
        <f t="shared" si="7"/>
        <v>0</v>
      </c>
      <c r="E58" s="31" t="s">
        <v>178</v>
      </c>
      <c r="F58" s="53"/>
      <c r="G58" s="294"/>
      <c r="H58" s="53"/>
    </row>
    <row r="59" spans="2:8" ht="15" customHeight="1">
      <c r="B59" s="53" t="s">
        <v>214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>
      <c r="B60" s="53" t="s">
        <v>215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4"/>
    </row>
    <row r="65" spans="2:7" ht="15" customHeight="1">
      <c r="G65" s="295"/>
    </row>
    <row r="66" spans="2:7" ht="15" customHeight="1">
      <c r="B66" s="54" t="s">
        <v>195</v>
      </c>
      <c r="C66" s="7"/>
      <c r="D66" s="7"/>
      <c r="E66" s="55"/>
    </row>
    <row r="67" spans="2:7" ht="15" customHeight="1">
      <c r="B67" s="106" t="s">
        <v>196</v>
      </c>
      <c r="C67" s="107"/>
      <c r="D67" s="107"/>
      <c r="E67" s="108"/>
    </row>
    <row r="68" spans="2:7" ht="15" customHeight="1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2023-05-16T06:30:58Z</dcterms:modified>
  <cp:category/>
  <cp:contentStatus/>
</cp:coreProperties>
</file>