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8A3E487-ED04-4446-9085-B4733A1E8A2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E6" i="1"/>
  <c r="C3" i="7"/>
  <c r="F43" i="1"/>
  <c r="F40" i="1"/>
  <c r="E26" i="1"/>
  <c r="E7" i="3"/>
  <c r="C35" i="1"/>
  <c r="B18" i="1"/>
  <c r="I5" i="7"/>
  <c r="G4" i="7"/>
  <c r="G10" i="7"/>
  <c r="G11" i="7"/>
  <c r="D6" i="4"/>
  <c r="E6" i="4"/>
  <c r="F6" i="4"/>
  <c r="C18" i="7"/>
  <c r="C11" i="2"/>
  <c r="E7" i="7"/>
  <c r="E6" i="7"/>
  <c r="I6" i="7"/>
  <c r="E5" i="7"/>
  <c r="G5" i="7"/>
  <c r="E4" i="7"/>
  <c r="D11" i="7"/>
  <c r="F11" i="7"/>
  <c r="D12" i="7"/>
  <c r="F12" i="7"/>
  <c r="H12" i="7"/>
  <c r="D13" i="7"/>
  <c r="F13" i="7"/>
  <c r="D10" i="7"/>
  <c r="F10" i="7"/>
  <c r="E10" i="7"/>
  <c r="C8" i="7"/>
  <c r="J7" i="7"/>
  <c r="C14" i="7"/>
  <c r="F7" i="7"/>
  <c r="E13" i="7"/>
  <c r="G7" i="7"/>
  <c r="H7" i="7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D4" i="7"/>
  <c r="F4" i="7"/>
  <c r="E11" i="7"/>
  <c r="I11" i="7"/>
  <c r="I4" i="7"/>
  <c r="F6" i="7"/>
  <c r="G8" i="7"/>
  <c r="I8" i="7"/>
  <c r="I10" i="7"/>
  <c r="J4" i="7"/>
  <c r="G12" i="7"/>
  <c r="G14" i="7"/>
  <c r="G15" i="7"/>
  <c r="H6" i="7"/>
  <c r="I9" i="7"/>
  <c r="I18" i="7"/>
  <c r="I14" i="7"/>
  <c r="I15" i="7"/>
  <c r="D65" i="3"/>
  <c r="I11" i="3"/>
  <c r="C40" i="3"/>
  <c r="C38" i="3"/>
  <c r="C36" i="3"/>
  <c r="C17" i="3"/>
  <c r="C30" i="3"/>
  <c r="C32" i="3"/>
  <c r="C18" i="3"/>
  <c r="C22" i="3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G34" i="4"/>
  <c r="D20" i="2"/>
  <c r="E20" i="2"/>
  <c r="F20" i="2"/>
  <c r="G20" i="2"/>
  <c r="H20" i="2"/>
  <c r="I20" i="2"/>
  <c r="J20" i="2"/>
  <c r="K20" i="2"/>
  <c r="L20" i="2"/>
  <c r="M20" i="2"/>
  <c r="C20" i="2"/>
  <c r="G16" i="3"/>
  <c r="G18" i="7"/>
  <c r="G9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4" i="3"/>
  <c r="D4" i="3"/>
  <c r="D6" i="1"/>
  <c r="C29" i="4"/>
  <c r="C3" i="4"/>
  <c r="E3" i="7"/>
  <c r="C15" i="4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5" i="7"/>
  <c r="C17" i="7"/>
  <c r="E17" i="7"/>
  <c r="E18" i="7"/>
  <c r="B3" i="7"/>
  <c r="C16" i="7"/>
  <c r="C21" i="7"/>
  <c r="E9" i="7"/>
  <c r="C24" i="7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C4" i="4"/>
  <c r="C7" i="4"/>
  <c r="C8" i="4"/>
  <c r="C9" i="4"/>
  <c r="C10" i="4"/>
  <c r="C16" i="2"/>
  <c r="C23" i="7"/>
  <c r="G16" i="7"/>
  <c r="G21" i="7"/>
  <c r="D52" i="3"/>
  <c r="C20" i="4"/>
  <c r="D20" i="4"/>
  <c r="I53" i="3"/>
  <c r="C7" i="1"/>
  <c r="C44" i="3"/>
  <c r="C25" i="3"/>
  <c r="I7" i="3"/>
  <c r="G19" i="7"/>
  <c r="C45" i="3"/>
  <c r="E12" i="3"/>
  <c r="D53" i="5"/>
  <c r="E35" i="3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E45" i="3"/>
  <c r="D45" i="3"/>
  <c r="I44" i="3"/>
  <c r="C26" i="4"/>
  <c r="D25" i="3"/>
  <c r="E45" i="2"/>
  <c r="E35" i="2"/>
  <c r="D45" i="2"/>
  <c r="D35" i="2"/>
  <c r="I25" i="3"/>
  <c r="J25" i="3"/>
  <c r="D62" i="5"/>
  <c r="E62" i="5"/>
  <c r="J24" i="3"/>
  <c r="E17" i="2"/>
  <c r="I17" i="2"/>
  <c r="D17" i="2"/>
  <c r="D46" i="3"/>
  <c r="I45" i="3"/>
  <c r="J45" i="3"/>
  <c r="I10" i="1"/>
  <c r="E50" i="3" s="1"/>
  <c r="J44" i="3"/>
  <c r="J26" i="3"/>
  <c r="D18" i="5"/>
  <c r="F16" i="1"/>
  <c r="F18" i="1"/>
  <c r="C11" i="1"/>
  <c r="D12" i="5"/>
  <c r="D5" i="5"/>
  <c r="E5" i="5"/>
  <c r="E6" i="5"/>
  <c r="E18" i="5"/>
  <c r="E64" i="5"/>
  <c r="E14" i="7"/>
  <c r="D64" i="5"/>
  <c r="E7" i="5"/>
  <c r="D7" i="5"/>
  <c r="D8" i="5"/>
  <c r="E8" i="5"/>
  <c r="F39" i="1"/>
  <c r="F41" i="1"/>
  <c r="E16" i="7"/>
  <c r="E21" i="7"/>
  <c r="E15" i="7"/>
  <c r="G20" i="7"/>
  <c r="E20" i="7"/>
  <c r="E22" i="7"/>
  <c r="G22" i="7"/>
  <c r="E19" i="7"/>
  <c r="E24" i="7"/>
  <c r="E23" i="7"/>
  <c r="G24" i="7"/>
  <c r="G23" i="7"/>
  <c r="D4" i="4"/>
  <c r="E4" i="4"/>
  <c r="D5" i="4"/>
  <c r="D7" i="4"/>
  <c r="D8" i="4"/>
  <c r="D9" i="4"/>
  <c r="D10" i="4"/>
  <c r="E7" i="4"/>
  <c r="E8" i="4"/>
  <c r="E9" i="4"/>
  <c r="E5" i="4"/>
  <c r="I16" i="7"/>
  <c r="I21" i="7"/>
  <c r="I19" i="7"/>
  <c r="I20" i="7"/>
  <c r="I3" i="7"/>
  <c r="F3" i="4"/>
  <c r="G4" i="4"/>
  <c r="B24" i="4"/>
  <c r="G2" i="4"/>
  <c r="I22" i="7"/>
  <c r="I24" i="7"/>
  <c r="I23" i="7"/>
  <c r="F4" i="4"/>
  <c r="F7" i="4"/>
  <c r="F8" i="4"/>
  <c r="F9" i="4"/>
  <c r="F5" i="4"/>
  <c r="G8" i="4"/>
  <c r="G9" i="4"/>
  <c r="G12" i="4"/>
  <c r="D50" i="3" l="1"/>
  <c r="C21" i="4"/>
  <c r="D60" i="3"/>
  <c r="J10" i="1" s="1"/>
  <c r="D49" i="3"/>
  <c r="D6" i="3"/>
  <c r="E13" i="4"/>
  <c r="E14" i="4" s="1"/>
  <c r="E15" i="4" s="1"/>
  <c r="D14" i="4"/>
  <c r="D15" i="4" s="1"/>
  <c r="F13" i="4"/>
  <c r="F14" i="4" s="1"/>
  <c r="F15" i="4" s="1"/>
  <c r="G13" i="4"/>
  <c r="E6" i="3" l="1"/>
  <c r="D7" i="3"/>
  <c r="G18" i="4"/>
  <c r="G19" i="4" s="1"/>
  <c r="H16" i="1" s="1"/>
  <c r="D21" i="4"/>
  <c r="G21" i="4" s="1"/>
  <c r="F25" i="4"/>
  <c r="G14" i="4"/>
  <c r="E20" i="4" l="1"/>
  <c r="J18" i="1"/>
  <c r="J16" i="1"/>
  <c r="G15" i="4"/>
  <c r="E26" i="4"/>
  <c r="G26" i="4" s="1"/>
  <c r="E30" i="4" s="1"/>
  <c r="E25" i="4"/>
  <c r="G25" i="4" s="1"/>
  <c r="C30" i="4" s="1"/>
  <c r="C34" i="4"/>
  <c r="C33" i="4" l="1"/>
  <c r="D14" i="1"/>
  <c r="F46" i="1" s="1"/>
  <c r="F14" i="1"/>
  <c r="D30" i="4"/>
  <c r="I35" i="1"/>
  <c r="E34" i="4"/>
  <c r="F34" i="4"/>
  <c r="F45" i="1" l="1"/>
  <c r="I36" i="1"/>
  <c r="F33" i="4"/>
  <c r="E33" i="4"/>
  <c r="H14" i="1"/>
  <c r="B17" i="1" l="1"/>
  <c r="D17" i="1" s="1"/>
  <c r="D18" i="1"/>
  <c r="J25" i="1"/>
  <c r="D16" i="1"/>
  <c r="E49" i="1"/>
  <c r="F42" i="1"/>
  <c r="F49" i="1"/>
  <c r="D49" i="1" l="1"/>
  <c r="E42" i="1"/>
  <c r="F48" i="1" s="1"/>
  <c r="E50" i="1" s="1"/>
  <c r="F50" i="1" s="1"/>
  <c r="F17" i="1"/>
  <c r="J17" i="1"/>
  <c r="B50" i="1" l="1"/>
  <c r="C50" i="1"/>
</calcChain>
</file>

<file path=xl/sharedStrings.xml><?xml version="1.0" encoding="utf-8"?>
<sst xmlns="http://schemas.openxmlformats.org/spreadsheetml/2006/main" count="407" uniqueCount="341">
  <si>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</si>
  <si>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</si>
  <si>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</si>
  <si>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</si>
  <si>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</si>
  <si>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</si>
  <si>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</si>
  <si>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</si>
  <si>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</si>
  <si>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</si>
  <si>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</si>
  <si>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</si>
  <si>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</si>
  <si>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</si>
  <si>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</si>
  <si>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</si>
  <si>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</si>
  <si>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</si>
  <si>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</si>
  <si>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</si>
  <si>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</si>
  <si>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</si>
  <si>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</si>
  <si>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</si>
  <si>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</si>
  <si>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</si>
  <si>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</si>
  <si>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</si>
  <si>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</si>
  <si>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</si>
  <si>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</si>
  <si>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</si>
  <si>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</si>
  <si>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</si>
  <si>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</si>
  <si>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</si>
  <si>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</si>
  <si>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</si>
  <si>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</si>
  <si>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</si>
  <si>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</si>
  <si>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</si>
  <si>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</si>
  <si>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</si>
  <si>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</si>
  <si>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</si>
  <si>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</si>
  <si>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</si>
  <si>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</si>
  <si>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</si>
  <si>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</si>
  <si>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</si>
  <si>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</si>
  <si>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</si>
  <si>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</si>
  <si>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</si>
  <si>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</si>
  <si>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</si>
  <si>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</si>
  <si>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</si>
  <si>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</si>
  <si>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</si>
  <si>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</si>
  <si>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</si>
  <si>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</si>
  <si>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</si>
  <si>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</si>
  <si>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</si>
  <si>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</si>
  <si>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</si>
  <si>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</si>
  <si>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</si>
  <si>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</si>
  <si>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</si>
  <si>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</si>
  <si>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</si>
  <si>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</si>
  <si>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</si>
  <si>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</si>
  <si>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</si>
  <si>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</si>
  <si>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</si>
  <si>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</si>
  <si>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</si>
  <si>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</si>
  <si>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</si>
  <si>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</si>
  <si>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</si>
  <si>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</si>
  <si>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</si>
  <si>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</si>
  <si>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</si>
  <si>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</si>
  <si>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</si>
  <si>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</si>
  <si>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</si>
  <si>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</si>
  <si>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</si>
  <si>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</si>
  <si>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</si>
  <si>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</si>
  <si>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</si>
  <si>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</si>
  <si>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</si>
  <si>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</si>
  <si>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</si>
  <si>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</si>
  <si>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</si>
  <si>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</si>
  <si>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</si>
  <si>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</si>
  <si>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</si>
  <si>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</si>
  <si>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</si>
  <si>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</si>
  <si>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</si>
  <si>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</si>
  <si>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</si>
  <si>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</si>
  <si>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</si>
  <si>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</si>
  <si>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</si>
  <si>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</si>
  <si>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</si>
  <si>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</si>
  <si>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</si>
  <si>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</si>
  <si>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</si>
  <si>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</si>
  <si>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</si>
  <si>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</si>
  <si>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</si>
  <si>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</si>
  <si>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</si>
  <si>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</si>
  <si>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</si>
  <si>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</si>
  <si>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</si>
  <si>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</si>
  <si>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</si>
  <si>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</si>
  <si>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</si>
  <si>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</si>
  <si>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</si>
  <si>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</si>
  <si>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</si>
  <si>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</si>
  <si>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</si>
  <si>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</si>
  <si>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</si>
  <si>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</si>
  <si>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</si>
  <si>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</si>
  <si>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</si>
  <si>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</si>
  <si>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</si>
  <si>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</si>
  <si>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</si>
  <si>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</si>
  <si>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</si>
  <si>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</si>
  <si>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</si>
  <si>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</si>
  <si>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</si>
  <si>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</si>
  <si>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</si>
  <si>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</si>
  <si>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</si>
  <si>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</si>
  <si>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</si>
  <si>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</si>
  <si>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</si>
  <si>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</si>
  <si>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</si>
  <si>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</si>
  <si>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</si>
  <si>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</si>
  <si>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</si>
  <si>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</si>
  <si>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</si>
  <si>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</si>
  <si>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</si>
  <si>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</si>
  <si>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</si>
  <si>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</si>
  <si>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</si>
  <si>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</si>
  <si>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</si>
  <si>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</si>
  <si>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</si>
  <si>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</si>
  <si>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</si>
  <si>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</si>
  <si>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</si>
  <si>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</si>
  <si>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</si>
  <si>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</si>
  <si>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</si>
  <si>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</si>
  <si>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</si>
  <si>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</si>
  <si>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</si>
  <si>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</si>
  <si>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</si>
  <si>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</si>
  <si>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</si>
  <si>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</si>
  <si>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</si>
  <si>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</si>
  <si>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</si>
  <si>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</si>
  <si>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</si>
  <si>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</si>
  <si>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</si>
  <si>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</si>
  <si>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</si>
  <si>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</si>
  <si>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</si>
  <si>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</si>
  <si>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</si>
  <si>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</si>
  <si>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</si>
  <si>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</si>
  <si>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</si>
  <si>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</si>
  <si>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</si>
  <si>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</si>
  <si>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</si>
  <si>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</si>
  <si>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</si>
  <si>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</si>
  <si>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</si>
  <si>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</si>
  <si>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</si>
  <si>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</si>
  <si>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</si>
  <si>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</si>
  <si>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</si>
  <si>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</si>
  <si>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</si>
  <si>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</si>
  <si>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</si>
  <si>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</si>
  <si>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</si>
  <si>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</si>
  <si>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</si>
  <si>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</si>
  <si>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</si>
  <si>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</si>
  <si>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</si>
  <si>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</si>
  <si>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</si>
  <si>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</si>
  <si>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</si>
  <si>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</si>
  <si>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</si>
  <si>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</si>
  <si>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</si>
  <si>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</si>
  <si>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</si>
  <si>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</si>
  <si>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</si>
  <si>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</si>
  <si>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</si>
  <si>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</si>
  <si>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</si>
  <si>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</si>
  <si>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</si>
  <si>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</si>
  <si>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</si>
  <si>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</si>
  <si>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</si>
  <si>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</si>
  <si>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</si>
  <si>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</si>
  <si>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</si>
  <si>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</si>
  <si>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</si>
  <si>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</si>
  <si>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</si>
  <si>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</si>
  <si>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</si>
  <si>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</si>
  <si>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</si>
  <si>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</si>
  <si>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</si>
  <si>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</si>
  <si>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</si>
  <si>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</si>
  <si>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</si>
  <si>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</si>
  <si>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</si>
  <si>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</si>
  <si>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</si>
  <si>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</si>
  <si>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</si>
  <si>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</si>
  <si>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</si>
  <si>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</si>
  <si>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</si>
  <si>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</si>
  <si>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</si>
  <si>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</si>
  <si>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</si>
  <si>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</si>
  <si>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</si>
  <si>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</si>
  <si>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</si>
  <si>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</si>
  <si>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</si>
  <si>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</si>
  <si>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</si>
  <si>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</si>
  <si>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</si>
  <si>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</si>
  <si>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</si>
  <si>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</si>
  <si>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</si>
  <si>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</si>
  <si>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</si>
  <si>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</si>
  <si>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</si>
  <si>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</si>
  <si>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</si>
  <si>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</si>
  <si>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</si>
  <si>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</si>
  <si>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</si>
  <si>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</si>
  <si>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</si>
  <si>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</si>
  <si>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</si>
  <si>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</si>
  <si>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</si>
  <si>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</si>
  <si>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</si>
  <si>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</si>
  <si>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t>4. Is the upside very attractive?</t>
  </si>
  <si>
    <t>5. The probability of a recession affecting the company</t>
  </si>
  <si>
    <t>Quarter</t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</si>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</sst>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4" zoomScaleNormal="100" workbookViewId="0">
      <selection activeCell="C30" sqref="C30:D30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6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9" t="s">
        <v>301</v>
      </c>
      <c r="D3" s="420"/>
      <c r="E3" s="15"/>
      <c r="G3" s="7" t="s">
        <v>2</v>
      </c>
      <c r="I3" s="429" t="s">
        <v>3</v>
      </c>
      <c r="J3" s="430"/>
    </row>
    <row r="4" spans="1:12" ht="15.75" customHeight="1">
      <c r="B4" s="5" t="s">
        <v>4</v>
      </c>
      <c r="C4" s="421" t="s">
        <v>302</v>
      </c>
      <c r="D4" s="422"/>
      <c r="E4" s="6"/>
      <c r="G4" s="5" t="s">
        <v>5</v>
      </c>
      <c r="I4" s="32">
        <v>4.7699999999999996</v>
      </c>
      <c r="J4" s="33" t="s">
        <v>6</v>
      </c>
      <c r="K4" s="152"/>
    </row>
    <row r="5" spans="1:12" ht="15.75" customHeight="1">
      <c r="B5" s="5" t="s">
        <v>7</v>
      </c>
      <c r="C5" s="423">
        <v>43647</v>
      </c>
      <c r="D5" s="422"/>
      <c r="E5" s="122" t="str">
        <f ca="1">IF(C5+30&gt;=TODAY(),"Patience Premium","")</f>
        <v/>
      </c>
      <c r="G5" s="5" t="s">
        <v>8</v>
      </c>
      <c r="I5" s="412">
        <v>28698864088</v>
      </c>
      <c r="J5" s="413"/>
      <c r="K5" s="151"/>
      <c r="L5" s="85"/>
    </row>
    <row r="6" spans="1:12" ht="15.75" customHeight="1">
      <c r="B6" s="12" t="s">
        <v>254</v>
      </c>
      <c r="C6" s="268">
        <v>6</v>
      </c>
      <c r="D6" s="269">
        <f>EOMONTH(EDATE(Asset_Model!D9,C6),0)</f>
        <v>45016</v>
      </c>
      <c r="E6" s="352">
        <f>IF(Asset_Model!E9="FY",Asset_Model!D9,Data!C3)</f>
        <v>44561</v>
      </c>
      <c r="G6" s="134" t="s">
        <v>9</v>
      </c>
      <c r="H6" s="133"/>
      <c r="I6" s="431">
        <f>I4*I5/1000000</f>
        <v>136893.58169975999</v>
      </c>
      <c r="J6" s="432"/>
      <c r="K6" s="151"/>
    </row>
    <row r="7" spans="1:12" ht="15.75" customHeight="1">
      <c r="B7" s="139" t="s">
        <v>10</v>
      </c>
      <c r="C7" s="145">
        <f>(Data!C39)/I4</f>
        <v>4.3558499426788348E-2</v>
      </c>
      <c r="D7" s="145">
        <f>(Data!C40)/I4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11.794206591206583</v>
      </c>
      <c r="J9" s="48">
        <f>IF(I9="NNI","NNI",1/I9)</f>
        <v>8.4787390509639779E-2</v>
      </c>
    </row>
    <row r="10" spans="1:12" ht="15.75" customHeight="1">
      <c r="B10" s="3" t="s">
        <v>271</v>
      </c>
      <c r="C10" s="298" t="s">
        <v>272</v>
      </c>
      <c r="D10" s="298">
        <v>2.8999999999999998E-2</v>
      </c>
      <c r="E10" s="5"/>
      <c r="G10" s="5" t="s">
        <v>14</v>
      </c>
      <c r="I10" s="138">
        <f>I4/(Data!C28*I12*Data!C4/Common_Shares)</f>
        <v>0.66657550021885226</v>
      </c>
      <c r="J10" s="130">
        <f>IF(Asset_Model!D60/'FCFF Model'!C4&lt;0,"Negative EV",Asset_Model!D60/'FCFF Model'!C4)</f>
        <v>5.6439852357019404</v>
      </c>
    </row>
    <row r="11" spans="1:12" ht="15.75" customHeight="1" thickBot="1">
      <c r="B11" s="311" t="s">
        <v>275</v>
      </c>
      <c r="C11" s="440">
        <f ca="1">C12-D10</f>
        <v>5.1000000000000004E-2</v>
      </c>
      <c r="D11" s="441"/>
      <c r="E11" s="13"/>
      <c r="G11" s="5" t="s">
        <v>15</v>
      </c>
      <c r="H11" s="6"/>
      <c r="I11" s="438" t="s">
        <v>303</v>
      </c>
      <c r="J11" s="439"/>
    </row>
    <row r="12" spans="1:12" ht="15.75" customHeight="1" thickTop="1">
      <c r="B12" s="312" t="s">
        <v>148</v>
      </c>
      <c r="C12" s="369">
        <f ca="1">IF(C10="CN",8%,6%)*IF($C$5+30&gt;=TODAY(),1.2,1)</f>
        <v>0.08</v>
      </c>
      <c r="D12" s="370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215</v>
      </c>
      <c r="D14" s="184">
        <f ca="1">MIN('FCFF Model'!C30,'FCFF Model'!E30)</f>
        <v>1.6805439928309407</v>
      </c>
      <c r="E14" s="127" t="s">
        <v>232</v>
      </c>
      <c r="F14" s="184">
        <f ca="1">MAX('FCFF Model'!C30,'FCFF Model'!E30)</f>
        <v>6.4824877318232357</v>
      </c>
      <c r="G14" s="185" t="s">
        <v>24</v>
      </c>
      <c r="H14" s="193">
        <f ca="1">IF('FCFF Model'!C33&lt;0, "Error", 'FCFF Model'!C33)</f>
        <v>3.4720446697403617</v>
      </c>
      <c r="I14" s="133"/>
      <c r="J14" s="133"/>
    </row>
    <row r="15" spans="1:12" ht="15.75" customHeight="1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4.7699999999999996</v>
      </c>
      <c r="C16" s="377">
        <v>0.1</v>
      </c>
      <c r="D16" s="159">
        <f ca="1">H14/B16-1-C16</f>
        <v>-0.37210803569384443</v>
      </c>
      <c r="E16" s="374">
        <f>'FCFF Model'!D11*Exchange_Rate</f>
        <v>0.20278686046600339</v>
      </c>
      <c r="F16" s="161">
        <f>E16/B16</f>
        <v>4.2512968651153754E-2</v>
      </c>
      <c r="G16" s="402" t="s">
        <v>25</v>
      </c>
      <c r="H16" s="433">
        <f>('FCFF Model'!G19)*Exchange_Rate</f>
        <v>0.65228915293256318</v>
      </c>
      <c r="I16" s="402" t="s">
        <v>26</v>
      </c>
      <c r="J16" s="206">
        <f>B16-$H$16</f>
        <v>4.1177108470674364</v>
      </c>
    </row>
    <row r="17" spans="1:10" ht="15.75" customHeight="1">
      <c r="B17" s="288">
        <f ca="1">H14/(1+C16)</f>
        <v>3.1564042452185106</v>
      </c>
      <c r="C17" s="378"/>
      <c r="D17" s="287">
        <f ca="1">H14/B17-1-C16</f>
        <v>0</v>
      </c>
      <c r="E17" s="375"/>
      <c r="F17" s="162">
        <f ca="1">E16/B17</f>
        <v>6.4246162630529888E-2</v>
      </c>
      <c r="G17" s="403"/>
      <c r="H17" s="434"/>
      <c r="I17" s="403"/>
      <c r="J17" s="205">
        <f ca="1">B17-$H$16</f>
        <v>2.5041150922859474</v>
      </c>
    </row>
    <row r="18" spans="1:10" ht="15.75" customHeight="1">
      <c r="B18" s="351">
        <f>C35</f>
        <v>2.4</v>
      </c>
      <c r="C18" s="379"/>
      <c r="D18" s="160">
        <f ca="1">H14/B18-1-C16</f>
        <v>0.34668527905848412</v>
      </c>
      <c r="E18" s="376"/>
      <c r="F18" s="163">
        <f>E16/B18</f>
        <v>8.4494525194168085E-2</v>
      </c>
      <c r="G18" s="404"/>
      <c r="H18" s="435"/>
      <c r="I18" s="404"/>
      <c r="J18" s="207">
        <f>B18-$H$16</f>
        <v>1.7477108470674367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252</v>
      </c>
      <c r="D20" s="289" t="s">
        <v>307</v>
      </c>
      <c r="E20" s="265" t="s">
        <v>262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26" t="s">
        <v>310</v>
      </c>
      <c r="D21" s="427"/>
      <c r="E21" s="427"/>
      <c r="F21" s="427"/>
      <c r="G21" s="427"/>
      <c r="H21" s="427"/>
      <c r="I21" s="427"/>
      <c r="J21" s="428"/>
    </row>
    <row r="22" spans="1:10" ht="52.5" customHeight="1">
      <c r="A22" s="6"/>
      <c r="B22" s="24" t="s">
        <v>29</v>
      </c>
      <c r="C22" s="437"/>
      <c r="D22" s="381"/>
      <c r="E22" s="381"/>
      <c r="F22" s="381"/>
      <c r="G22" s="437"/>
      <c r="H22" s="437"/>
      <c r="I22" s="381"/>
      <c r="J22" s="381"/>
    </row>
    <row r="23" spans="1:10" ht="52.5" customHeight="1">
      <c r="A23" s="6"/>
      <c r="B23" s="25" t="s">
        <v>30</v>
      </c>
      <c r="C23" s="400"/>
      <c r="D23" s="401"/>
      <c r="E23" s="401"/>
      <c r="F23" s="401"/>
      <c r="G23" s="400"/>
      <c r="H23" s="400"/>
      <c r="I23" s="401"/>
      <c r="J23" s="401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49">
        <v>0.15</v>
      </c>
      <c r="I25" s="30" t="s">
        <v>324</v>
      </c>
      <c r="J25" s="350">
        <f ca="1">H14/(H25+C16+1)</f>
        <v>2.7776357357922894</v>
      </c>
    </row>
    <row r="26" spans="1:10" ht="15.75" customHeight="1">
      <c r="B26" s="23" t="s">
        <v>33</v>
      </c>
      <c r="C26" s="424">
        <v>43665</v>
      </c>
      <c r="D26" s="425"/>
      <c r="E26" s="382" t="str">
        <f>IF(C26="","","Action_Planning")</f>
        <v>Action_Planning</v>
      </c>
      <c r="F26" s="383"/>
      <c r="G26" s="383"/>
      <c r="H26" s="384"/>
      <c r="I26" s="436" t="s">
        <v>34</v>
      </c>
      <c r="J26" s="436"/>
    </row>
    <row r="27" spans="1:10" ht="15.75" customHeight="1">
      <c r="B27" s="23" t="s">
        <v>35</v>
      </c>
      <c r="C27" s="373">
        <f>C31/D25</f>
        <v>0.18766666666666668</v>
      </c>
      <c r="D27" s="372"/>
      <c r="E27" s="371">
        <f>E31/D25</f>
        <v>0.08</v>
      </c>
      <c r="F27" s="372"/>
      <c r="G27" s="406">
        <f>G31/D25</f>
        <v>0</v>
      </c>
      <c r="H27" s="407"/>
      <c r="I27" s="405">
        <f>C27+E27+G27</f>
        <v>0.26766666666666666</v>
      </c>
      <c r="J27" s="405"/>
    </row>
    <row r="28" spans="1:10" ht="15.75" customHeight="1">
      <c r="B28" s="23" t="s">
        <v>36</v>
      </c>
      <c r="C28" s="367">
        <v>20000</v>
      </c>
      <c r="D28" s="381"/>
      <c r="E28" s="367">
        <v>20000</v>
      </c>
      <c r="F28" s="381"/>
      <c r="G28" s="412"/>
      <c r="H28" s="413"/>
      <c r="I28" s="416">
        <f>C28+E28+G28</f>
        <v>40000</v>
      </c>
      <c r="J28" s="416"/>
    </row>
    <row r="29" spans="1:10" ht="15.75" customHeight="1">
      <c r="B29" s="23" t="s">
        <v>37</v>
      </c>
      <c r="C29" s="380">
        <v>5.63</v>
      </c>
      <c r="D29" s="381"/>
      <c r="E29" s="380">
        <v>2.4</v>
      </c>
      <c r="F29" s="381"/>
      <c r="G29" s="408"/>
      <c r="H29" s="409"/>
      <c r="I29" s="414"/>
      <c r="J29" s="414"/>
    </row>
    <row r="30" spans="1:10" ht="15.75" customHeight="1">
      <c r="B30" s="23" t="s">
        <v>38</v>
      </c>
      <c r="C30" s="393">
        <f>C29*$I$5/1000000</f>
        <v>161574.60481543999</v>
      </c>
      <c r="D30" s="394"/>
      <c r="E30" s="393">
        <f>E29*$I$5/1000000</f>
        <v>68877.273811199993</v>
      </c>
      <c r="F30" s="394"/>
      <c r="G30" s="410">
        <f>G29*$I$5/1000000</f>
        <v>0</v>
      </c>
      <c r="H30" s="411"/>
      <c r="I30" s="415"/>
      <c r="J30" s="415"/>
    </row>
    <row r="31" spans="1:10" ht="15.75" customHeight="1">
      <c r="B31" s="2" t="s">
        <v>39</v>
      </c>
      <c r="C31" s="395">
        <f>C28*C29</f>
        <v>112600</v>
      </c>
      <c r="D31" s="396"/>
      <c r="E31" s="397">
        <f>E28*E29</f>
        <v>48000</v>
      </c>
      <c r="F31" s="398"/>
      <c r="G31" s="417">
        <f>G28*G29</f>
        <v>0</v>
      </c>
      <c r="H31" s="418"/>
      <c r="I31" s="397">
        <f>C31+E31+G31</f>
        <v>160600</v>
      </c>
      <c r="J31" s="397"/>
    </row>
    <row r="32" spans="1:10" ht="15.75" customHeight="1">
      <c r="B32" s="1" t="s">
        <v>40</v>
      </c>
      <c r="C32" s="389"/>
      <c r="D32" s="390"/>
      <c r="E32" s="399">
        <f>IF(C31=0,"-",(C31+E31)/(C28+E28))</f>
        <v>4.0149999999999997</v>
      </c>
      <c r="F32" s="372"/>
      <c r="G32" s="117"/>
      <c r="H32" s="117"/>
      <c r="I32" s="399">
        <f>IF(I31=0,"",I31/I28)</f>
        <v>4.0149999999999997</v>
      </c>
      <c r="J32" s="399"/>
    </row>
    <row r="33" spans="2:10" ht="15.75" customHeight="1">
      <c r="B33" s="1" t="s">
        <v>41</v>
      </c>
      <c r="C33" s="391"/>
      <c r="D33" s="392"/>
      <c r="E33" s="393">
        <f>IF(E32="-","-",E32*$I$5/1000000)</f>
        <v>115225.93931331999</v>
      </c>
      <c r="F33" s="394"/>
      <c r="G33" s="118"/>
      <c r="H33" s="118"/>
      <c r="I33" s="393">
        <f>IF(I32="","",I32*$I$5/1000000)</f>
        <v>115225.93931331999</v>
      </c>
      <c r="J33" s="393"/>
    </row>
    <row r="34" spans="2:10" ht="15.75" customHeight="1"/>
    <row r="35" spans="2:10" ht="15.75" customHeight="1">
      <c r="B35" s="146" t="s">
        <v>320</v>
      </c>
      <c r="C35" s="385">
        <f>E29</f>
        <v>2.4</v>
      </c>
      <c r="D35" s="386"/>
      <c r="G35" s="387" t="s">
        <v>321</v>
      </c>
      <c r="H35" s="388"/>
      <c r="I35" s="385">
        <f ca="1">'FCFF Model'!C34*0.8</f>
        <v>5.5436244047265006</v>
      </c>
      <c r="J35" s="386"/>
    </row>
    <row r="36" spans="2:10" ht="15.75" customHeight="1">
      <c r="B36" s="146" t="s">
        <v>322</v>
      </c>
      <c r="C36" s="367">
        <v>20000</v>
      </c>
      <c r="D36" s="368"/>
      <c r="G36" s="364" t="s">
        <v>328</v>
      </c>
      <c r="H36" s="364"/>
      <c r="I36" s="365">
        <f ca="1">I35/C29-1</f>
        <v>-1.5342024027264478E-2</v>
      </c>
      <c r="J36" s="366"/>
    </row>
    <row r="37" spans="2:10" ht="15.75" customHeight="1"/>
    <row r="38" spans="2:10" ht="15.75" customHeight="1">
      <c r="B38" s="21" t="s">
        <v>329</v>
      </c>
      <c r="G38" s="345" t="s">
        <v>139</v>
      </c>
      <c r="H38" s="133"/>
      <c r="I38" s="133"/>
      <c r="J38" s="133"/>
    </row>
    <row r="39" spans="2:10" ht="15.75" customHeight="1">
      <c r="B39" s="3" t="s">
        <v>330</v>
      </c>
      <c r="F39" s="214">
        <f>'Qualitative Analysis'!E8</f>
        <v>0.32</v>
      </c>
    </row>
    <row r="40" spans="2:10" ht="15.75" customHeight="1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>
      <c r="B41" s="3" t="s">
        <v>332</v>
      </c>
      <c r="E41" s="353"/>
      <c r="F41" s="354">
        <f>'Qualitative Analysis'!E64</f>
        <v>0.37307823129251699</v>
      </c>
    </row>
    <row r="42" spans="2:10" ht="15.75" customHeight="1">
      <c r="B42" s="3" t="s">
        <v>337</v>
      </c>
      <c r="E42" s="353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>
      <c r="B43" s="3" t="s">
        <v>338</v>
      </c>
      <c r="F43" s="360">
        <f>AVERAGE(80%*0.5,0.6)</f>
        <v>0.5</v>
      </c>
    </row>
    <row r="44" spans="2:10" ht="15.75" customHeight="1"/>
    <row r="45" spans="2:10" ht="15.75" customHeight="1">
      <c r="B45" s="3" t="s">
        <v>333</v>
      </c>
      <c r="F45" s="354">
        <f ca="1">I35/C29-1</f>
        <v>-1.5342024027264478E-2</v>
      </c>
    </row>
    <row r="46" spans="2:10" ht="15.75" customHeight="1">
      <c r="B46" s="3" t="s">
        <v>334</v>
      </c>
      <c r="F46" s="354">
        <f ca="1">D14/C29-1</f>
        <v>-0.70150195509219526</v>
      </c>
    </row>
    <row r="47" spans="2:10" ht="15.75" customHeight="1"/>
    <row r="48" spans="2:10" ht="15.75" customHeight="1">
      <c r="B48" s="3" t="s">
        <v>335</v>
      </c>
      <c r="F48" s="214">
        <f ca="1">IF(F45&lt;=0,0,AVERAGE(F39:F41,1-F43,E42))</f>
        <v>0</v>
      </c>
      <c r="G48" s="74"/>
    </row>
    <row r="49" spans="2:8" ht="15.75" customHeight="1">
      <c r="B49" s="3" t="s">
        <v>336</v>
      </c>
      <c r="D49" s="361">
        <f ca="1">IF(F42="Strongly Agree",2,IF(F42="Agree",3,4))</f>
        <v>4</v>
      </c>
      <c r="E49" s="357">
        <f ca="1">F45/ABS(F46)</f>
        <v>-2.1870251274279263E-2</v>
      </c>
      <c r="F49" s="355">
        <f ca="1">IF(F46&gt;=0,100,F45/ABS(F46))</f>
        <v>-2.1870251274279263E-2</v>
      </c>
      <c r="G49" s="74"/>
    </row>
    <row r="50" spans="2:8" ht="15.75" customHeight="1">
      <c r="B50" s="362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56">
        <f ca="1">MIN(E50,H50)</f>
        <v>0</v>
      </c>
      <c r="G50" s="363" t="s">
        <v>340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  <dataValidation type="list" allowBlank="1" showInputMessage="1" showErrorMessage="1" sqref="B50" xr:uid="{71B578BF-671D-4684-8046-13341EC5D37A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7">
        <f>C3</f>
        <v>44561</v>
      </c>
      <c r="D6" s="278">
        <f>EOMONTH(EDATE(C6,-12),0)</f>
        <v>44196</v>
      </c>
      <c r="E6" s="278">
        <f t="shared" ref="E6:M6" si="0">EOMONTH(EDATE(D6,-12),0)</f>
        <v>43830</v>
      </c>
      <c r="F6" s="278">
        <f t="shared" si="0"/>
        <v>43465</v>
      </c>
      <c r="G6" s="278">
        <f t="shared" si="0"/>
        <v>43100</v>
      </c>
      <c r="H6" s="278">
        <f t="shared" si="0"/>
        <v>42735</v>
      </c>
      <c r="I6" s="278">
        <f t="shared" si="0"/>
        <v>42369</v>
      </c>
      <c r="J6" s="278">
        <f t="shared" si="0"/>
        <v>42004</v>
      </c>
      <c r="K6" s="278">
        <f t="shared" si="0"/>
        <v>41639</v>
      </c>
      <c r="L6" s="278">
        <f t="shared" si="0"/>
        <v>41274</v>
      </c>
      <c r="M6" s="278">
        <f t="shared" si="0"/>
        <v>40908</v>
      </c>
    </row>
    <row r="7" spans="1:14" ht="15.75" customHeight="1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>
      <c r="A24" s="9"/>
      <c r="B24" s="141" t="s">
        <v>60</v>
      </c>
      <c r="C24" s="271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0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8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39" t="s">
        <v>298</v>
      </c>
      <c r="C52" s="346">
        <f>IF(C51="","",C51/C7)</f>
        <v>5.7968002773911891E-2</v>
      </c>
      <c r="D52" s="346">
        <f t="shared" ref="D52:M52" si="27">IF(D51="","",D51/D7)</f>
        <v>5.8640640245518461E-2</v>
      </c>
      <c r="E52" s="346">
        <f t="shared" si="27"/>
        <v>5.2474207628422538E-2</v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5" t="s">
        <v>139</v>
      </c>
    </row>
    <row r="3" spans="1:11" ht="15" customHeight="1">
      <c r="B3" s="5" t="s">
        <v>257</v>
      </c>
      <c r="C3" s="6"/>
      <c r="D3" s="272">
        <v>184295625</v>
      </c>
      <c r="E3" s="156" t="str">
        <f>IF((C46-I46)=D3,"", "Error!")</f>
        <v/>
      </c>
      <c r="F3" s="6"/>
      <c r="G3" s="6"/>
      <c r="H3" s="273" t="s">
        <v>258</v>
      </c>
      <c r="I3" s="274">
        <v>149326777</v>
      </c>
    </row>
    <row r="4" spans="1:11" ht="15" customHeight="1">
      <c r="B4" s="5" t="s">
        <v>224</v>
      </c>
      <c r="C4" s="6"/>
      <c r="D4" s="275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5.8619254442506668</v>
      </c>
    </row>
    <row r="5" spans="1:11" ht="15" customHeight="1">
      <c r="D5" s="6"/>
      <c r="E5" s="23" t="s">
        <v>82</v>
      </c>
      <c r="I5" s="6"/>
    </row>
    <row r="6" spans="1:11" ht="15" customHeight="1">
      <c r="B6" s="58" t="s">
        <v>83</v>
      </c>
      <c r="C6" s="6"/>
      <c r="D6" s="59">
        <f>E46-I46-E50+MIN('FCFF Model'!D4,0)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>
      <c r="B7" s="53" t="s">
        <v>84</v>
      </c>
      <c r="D7" s="61">
        <f>MAX((D6*Exchange_Rate*Data!C4)/Dashboard!I5,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>
      <c r="D8" s="6"/>
      <c r="H8" s="3" t="s">
        <v>327</v>
      </c>
      <c r="I8" s="69">
        <f>C24/I26</f>
        <v>0.26344114998182927</v>
      </c>
    </row>
    <row r="9" spans="1:11" ht="15" customHeight="1">
      <c r="A9" s="4"/>
      <c r="B9" s="267" t="s">
        <v>253</v>
      </c>
      <c r="C9" s="254"/>
      <c r="D9" s="270">
        <v>44834</v>
      </c>
      <c r="E9" s="289" t="s">
        <v>339</v>
      </c>
      <c r="F9" s="133"/>
      <c r="G9" s="133"/>
      <c r="H9" s="133"/>
      <c r="I9" s="133"/>
    </row>
    <row r="10" spans="1:11" ht="15" customHeight="1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240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132</v>
      </c>
      <c r="C48" s="21"/>
      <c r="D48" s="52"/>
    </row>
    <row r="49" spans="2:9" ht="14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264</v>
      </c>
      <c r="C52" s="5"/>
      <c r="D52" s="442">
        <f>D53+D54+D55</f>
        <v>25367201</v>
      </c>
      <c r="E52" s="443"/>
      <c r="F52" s="53"/>
      <c r="G52" s="53"/>
    </row>
    <row r="53" spans="2:9" ht="14.5" thickTop="1">
      <c r="B53" s="58" t="s">
        <v>234</v>
      </c>
      <c r="C53" s="6"/>
      <c r="D53" s="445">
        <f>SUM(I11:I13)+SUM(I28:I30)</f>
        <v>25367201</v>
      </c>
      <c r="E53" s="396"/>
      <c r="F53" s="5"/>
      <c r="G53" s="5"/>
      <c r="H53" s="3" t="s">
        <v>270</v>
      </c>
      <c r="I53" s="14">
        <f>D53/I3</f>
        <v>0.1698771078411476</v>
      </c>
    </row>
    <row r="54" spans="2:9" ht="14">
      <c r="B54" s="58" t="s">
        <v>134</v>
      </c>
      <c r="C54" s="6"/>
      <c r="D54" s="450">
        <v>0</v>
      </c>
      <c r="E54" s="381"/>
      <c r="F54" s="6" t="s">
        <v>135</v>
      </c>
      <c r="G54" s="6"/>
    </row>
    <row r="55" spans="2:9" ht="12.75" customHeight="1">
      <c r="B55" s="58" t="s">
        <v>133</v>
      </c>
      <c r="C55" s="6"/>
      <c r="D55" s="450">
        <v>0</v>
      </c>
      <c r="E55" s="381"/>
      <c r="F55" s="5" t="s">
        <v>136</v>
      </c>
      <c r="G55" s="5"/>
    </row>
    <row r="56" spans="2:9" ht="15" customHeight="1">
      <c r="D56" s="6"/>
      <c r="E56" s="6"/>
    </row>
    <row r="57" spans="2:9" ht="14">
      <c r="B57" s="75" t="s">
        <v>137</v>
      </c>
      <c r="C57" s="5"/>
      <c r="D57" s="444"/>
      <c r="E57" s="444"/>
      <c r="F57" s="19"/>
      <c r="G57" s="19"/>
    </row>
    <row r="58" spans="2:9" ht="15" customHeight="1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>
      <c r="B60" s="53" t="s">
        <v>138</v>
      </c>
      <c r="C60" s="6"/>
      <c r="D60" s="448">
        <f>((Dashboard!I6*Data!C4)+D52+E50-C58-C59)</f>
        <v>108712658.69975999</v>
      </c>
      <c r="E60" s="449"/>
      <c r="F60" s="6"/>
      <c r="G60" s="6"/>
    </row>
    <row r="61" spans="2:9" ht="15" customHeight="1">
      <c r="D61" s="6"/>
      <c r="E61" s="6"/>
    </row>
    <row r="62" spans="2:9" ht="15" customHeight="1">
      <c r="B62" s="290" t="s">
        <v>263</v>
      </c>
    </row>
    <row r="63" spans="2:9" ht="15" customHeight="1">
      <c r="B63" s="3" t="s">
        <v>266</v>
      </c>
      <c r="D63" s="365">
        <f>((C26-C11-C12-C14-C15-C16*G16-C19*G19-C20*G20)-I26)/Data!C7</f>
        <v>-2.8753814455569179E-2</v>
      </c>
      <c r="E63" s="366"/>
    </row>
    <row r="64" spans="2:9" ht="15" customHeight="1">
      <c r="B64" s="3" t="s">
        <v>265</v>
      </c>
      <c r="D64" s="446">
        <v>1.32E-2</v>
      </c>
      <c r="E64" s="447"/>
      <c r="F64" s="265" t="s">
        <v>250</v>
      </c>
    </row>
    <row r="65" spans="2:5" ht="15" customHeight="1">
      <c r="B65" s="290" t="s">
        <v>267</v>
      </c>
      <c r="D65" s="446">
        <f>D64</f>
        <v>1.32E-2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D713D7D6-4088-41DB-8EE0-2FE595A06212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247</v>
      </c>
      <c r="C2" s="284" t="s">
        <v>261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>
      <c r="B3" s="29" t="str">
        <f>'FCFF Model'!B3</f>
        <v>(Numbers in 1000CNY)</v>
      </c>
      <c r="C3" s="276">
        <f>Dashboard!E6</f>
        <v>44561</v>
      </c>
      <c r="D3" s="28" t="s">
        <v>249</v>
      </c>
      <c r="E3" s="276">
        <f>EOMONTH(EDATE(C3,12),0)</f>
        <v>44926</v>
      </c>
      <c r="F3" s="28" t="s">
        <v>249</v>
      </c>
      <c r="G3" s="276">
        <f>IF(G9="","",EOMONTH(EDATE(E3,12),0))</f>
        <v>45291</v>
      </c>
      <c r="H3" s="28"/>
      <c r="I3" s="276">
        <f>IF(I20="","",EOMONTH(EDATE(G3,12),0))</f>
        <v>45657</v>
      </c>
      <c r="J3" s="295"/>
      <c r="L3" s="72" t="s">
        <v>139</v>
      </c>
    </row>
    <row r="4" spans="1:13" ht="15.75" customHeight="1">
      <c r="B4" s="291" t="s">
        <v>311</v>
      </c>
      <c r="C4" s="292">
        <v>90685334</v>
      </c>
      <c r="D4" s="259">
        <f>C4/$C$8</f>
        <v>0.40173937424089934</v>
      </c>
      <c r="E4" s="292">
        <f>C4*(1-11.19%)</f>
        <v>80537645.125400007</v>
      </c>
      <c r="F4" s="259">
        <f>E4/$C$8</f>
        <v>0.35678473826334273</v>
      </c>
      <c r="G4" s="348">
        <f>C4*1.15</f>
        <v>104288134.09999999</v>
      </c>
      <c r="H4" s="259">
        <f>G4/$C$8</f>
        <v>0.46200028037703422</v>
      </c>
      <c r="I4" s="348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>
      <c r="B5" s="291" t="s">
        <v>312</v>
      </c>
      <c r="C5" s="292">
        <v>54555862</v>
      </c>
      <c r="D5" s="259">
        <f t="shared" ref="D5:D7" si="0">C5/$C$8</f>
        <v>0.24168448076789195</v>
      </c>
      <c r="E5" s="292">
        <f>C5*(1-7.53%)</f>
        <v>50447805.591399997</v>
      </c>
      <c r="F5" s="259">
        <f t="shared" ref="F5:H7" si="1">E5/$C$8</f>
        <v>0.22348563936606969</v>
      </c>
      <c r="G5" s="348">
        <f>E5</f>
        <v>50447805.591399997</v>
      </c>
      <c r="H5" s="259">
        <f t="shared" si="1"/>
        <v>0.22348563936606969</v>
      </c>
      <c r="I5" s="348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>
      <c r="B6" s="291" t="s">
        <v>313</v>
      </c>
      <c r="C6" s="292">
        <v>71820826</v>
      </c>
      <c r="D6" s="259">
        <f t="shared" si="0"/>
        <v>0.31816890804751863</v>
      </c>
      <c r="E6" s="292">
        <f>C6*(1.19)</f>
        <v>85466782.939999998</v>
      </c>
      <c r="F6" s="259">
        <f t="shared" si="1"/>
        <v>0.37862100057654713</v>
      </c>
      <c r="G6" s="348">
        <f>E6*0.9</f>
        <v>76920104.645999998</v>
      </c>
      <c r="H6" s="259">
        <f t="shared" si="1"/>
        <v>0.3407589005188924</v>
      </c>
      <c r="I6" s="348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>
      <c r="B7" s="291" t="s">
        <v>314</v>
      </c>
      <c r="C7" s="292">
        <v>8669733</v>
      </c>
      <c r="D7" s="259">
        <f t="shared" si="0"/>
        <v>3.8407236943690089E-2</v>
      </c>
      <c r="E7" s="292">
        <f>C7*(1-4.96%)</f>
        <v>8239714.2432000004</v>
      </c>
      <c r="F7" s="259">
        <f t="shared" si="1"/>
        <v>3.6502237991283062E-2</v>
      </c>
      <c r="G7" s="348">
        <f>E7</f>
        <v>8239714.2432000004</v>
      </c>
      <c r="H7" s="259">
        <f t="shared" si="1"/>
        <v>3.6502237991283062E-2</v>
      </c>
      <c r="I7" s="348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>
      <c r="B8" s="5" t="s">
        <v>141</v>
      </c>
      <c r="C8" s="180">
        <f>SUM(C4:C7)</f>
        <v>225731755</v>
      </c>
      <c r="D8" s="258"/>
      <c r="E8" s="336">
        <f>SUM(E4:E7)</f>
        <v>224691947.90000001</v>
      </c>
      <c r="F8" s="258"/>
      <c r="G8" s="336">
        <f>SUM(G4:G7)</f>
        <v>239895758.58059999</v>
      </c>
      <c r="H8" s="258"/>
      <c r="I8" s="227">
        <f>SUM(I4:I7)</f>
        <v>263051930.44999999</v>
      </c>
      <c r="J8" s="286"/>
      <c r="K8" s="6"/>
      <c r="L8" s="74"/>
      <c r="M8" s="57"/>
    </row>
    <row r="9" spans="1:13" ht="15.75" customHeight="1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6"/>
      <c r="K9" s="6"/>
      <c r="L9" s="74"/>
      <c r="M9" s="57"/>
    </row>
    <row r="10" spans="1:13" ht="15.75" customHeight="1">
      <c r="B10" s="291" t="s">
        <v>311</v>
      </c>
      <c r="C10" s="292">
        <v>69699352</v>
      </c>
      <c r="D10" s="259">
        <f>1-C10/C4</f>
        <v>0.23141539071797435</v>
      </c>
      <c r="E10" s="292">
        <f>E4*(1-F10)</f>
        <v>61899994.511200003</v>
      </c>
      <c r="F10" s="259">
        <f>D10</f>
        <v>0.23141539071797435</v>
      </c>
      <c r="G10" s="348">
        <f>G4*(1-H10)</f>
        <v>79258981.915999994</v>
      </c>
      <c r="H10" s="259">
        <v>0.24</v>
      </c>
      <c r="I10" s="348">
        <f>I4*(1-J10)</f>
        <v>86022055.464776218</v>
      </c>
      <c r="J10" s="285">
        <v>0.25013646778495757</v>
      </c>
      <c r="K10" s="6"/>
      <c r="L10" s="74"/>
      <c r="M10" s="57"/>
    </row>
    <row r="11" spans="1:13" ht="15.75" customHeight="1">
      <c r="B11" s="291" t="s">
        <v>312</v>
      </c>
      <c r="C11" s="292">
        <v>43451544</v>
      </c>
      <c r="D11" s="259">
        <f t="shared" ref="D11:D13" si="5">1-C11/C5</f>
        <v>0.20354032716044335</v>
      </c>
      <c r="E11" s="292">
        <f t="shared" ref="E11:G13" si="6">E5*(1-F11)</f>
        <v>40179642.7368</v>
      </c>
      <c r="F11" s="259">
        <f t="shared" ref="F11:F13" si="7">D11</f>
        <v>0.20354032716044335</v>
      </c>
      <c r="G11" s="348">
        <f>C11</f>
        <v>43451544</v>
      </c>
      <c r="H11" s="259">
        <f t="shared" ref="H11" si="8">1-G11/G5</f>
        <v>0.13868316985016038</v>
      </c>
      <c r="I11" s="348">
        <f>E11</f>
        <v>40179642.7368</v>
      </c>
      <c r="J11" s="285">
        <v>0.20354032716044335</v>
      </c>
      <c r="K11" s="6"/>
      <c r="L11" s="74"/>
      <c r="M11" s="57"/>
    </row>
    <row r="12" spans="1:13" ht="15.75" customHeight="1">
      <c r="B12" s="291" t="s">
        <v>313</v>
      </c>
      <c r="C12" s="292">
        <v>59899171</v>
      </c>
      <c r="D12" s="259">
        <f t="shared" si="5"/>
        <v>0.1659916164149936</v>
      </c>
      <c r="E12" s="292">
        <f t="shared" si="6"/>
        <v>71280013.489999995</v>
      </c>
      <c r="F12" s="259">
        <f t="shared" si="7"/>
        <v>0.1659916164149936</v>
      </c>
      <c r="G12" s="292">
        <f t="shared" si="6"/>
        <v>64152012.140999995</v>
      </c>
      <c r="H12" s="259">
        <f>F12</f>
        <v>0.1659916164149936</v>
      </c>
      <c r="I12" s="292">
        <f t="shared" ref="I12" si="9">I6*(1-J12)</f>
        <v>71280013.489999995</v>
      </c>
      <c r="J12" s="285">
        <v>0.1659916164149936</v>
      </c>
      <c r="K12" s="6"/>
      <c r="L12" s="74"/>
      <c r="M12" s="57"/>
    </row>
    <row r="13" spans="1:13" ht="15.75" customHeight="1">
      <c r="B13" s="291" t="s">
        <v>314</v>
      </c>
      <c r="C13" s="292">
        <v>6253825</v>
      </c>
      <c r="D13" s="259">
        <f t="shared" si="5"/>
        <v>0.27866002332482442</v>
      </c>
      <c r="E13" s="292">
        <f t="shared" si="6"/>
        <v>5943635.2800000003</v>
      </c>
      <c r="F13" s="259">
        <f t="shared" si="7"/>
        <v>0.27866002332482442</v>
      </c>
      <c r="G13" s="348">
        <f>G7*(1-H13)</f>
        <v>6262182.8248320008</v>
      </c>
      <c r="H13" s="259">
        <v>0.24</v>
      </c>
      <c r="I13" s="348">
        <v>6696416</v>
      </c>
      <c r="J13" s="285">
        <v>0.1944004201946552</v>
      </c>
      <c r="K13" s="6"/>
      <c r="L13" s="74"/>
      <c r="M13" s="57"/>
    </row>
    <row r="14" spans="1:13" ht="15.75" customHeight="1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0">
        <f>SUM(G10:G13)</f>
        <v>193124720.88183197</v>
      </c>
      <c r="H14" s="261"/>
      <c r="I14" s="280">
        <f>IF(I8="","",SUM(I10:I13))</f>
        <v>204178127.69157621</v>
      </c>
      <c r="J14" s="327"/>
      <c r="K14" s="6"/>
      <c r="L14" s="116"/>
      <c r="M14" s="1"/>
    </row>
    <row r="15" spans="1:13" ht="15.75" customHeight="1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8"/>
      <c r="K15" s="6"/>
      <c r="L15" s="74"/>
    </row>
    <row r="16" spans="1:13" ht="15.75" customHeight="1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29"/>
      <c r="K17" s="6"/>
      <c r="L17" s="74"/>
    </row>
    <row r="18" spans="2:13" ht="15.75" customHeight="1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0"/>
      <c r="K18" s="6"/>
      <c r="L18" s="74"/>
    </row>
    <row r="19" spans="2:13" ht="15.75" customHeight="1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1"/>
      <c r="K20" s="6"/>
      <c r="L20" s="77"/>
      <c r="M20" s="78"/>
    </row>
    <row r="21" spans="2:13" ht="15.75" customHeight="1">
      <c r="B21" s="134" t="s">
        <v>245</v>
      </c>
      <c r="C21" s="318">
        <f>C16-C18</f>
        <v>25682245</v>
      </c>
      <c r="D21" s="319"/>
      <c r="E21" s="318">
        <f>E16-E18</f>
        <v>24738606.16073342</v>
      </c>
      <c r="F21" s="319"/>
      <c r="G21" s="318">
        <f>IF(G9="","",G16-G18)</f>
        <v>24820575.788643122</v>
      </c>
      <c r="H21" s="319"/>
      <c r="I21" s="318">
        <f>IF(I9="","",I16-I18)</f>
        <v>34804551.122248776</v>
      </c>
      <c r="J21" s="332"/>
      <c r="K21" s="6"/>
      <c r="L21" s="79"/>
      <c r="M21" s="56"/>
    </row>
    <row r="22" spans="2:13" ht="15.75" customHeight="1">
      <c r="B22" s="314" t="s">
        <v>146</v>
      </c>
      <c r="C22" s="315">
        <v>0.25</v>
      </c>
      <c r="D22" s="316"/>
      <c r="E22" s="317">
        <f>IF(E21="","",C22)</f>
        <v>0.25</v>
      </c>
      <c r="F22" s="317"/>
      <c r="G22" s="317">
        <f>IF(G21="","",E22)</f>
        <v>0.25</v>
      </c>
      <c r="H22" s="317"/>
      <c r="I22" s="317">
        <f>IF(I21="","",G22)</f>
        <v>0.25</v>
      </c>
      <c r="J22" s="333"/>
    </row>
    <row r="23" spans="2:13" ht="15.75" customHeight="1">
      <c r="B23" s="323" t="s">
        <v>316</v>
      </c>
      <c r="C23" s="263">
        <f>C24/C8</f>
        <v>8.5329969414360871E-2</v>
      </c>
      <c r="D23" s="325"/>
      <c r="E23" s="324">
        <f>E24/E8</f>
        <v>8.2575075760202912E-2</v>
      </c>
      <c r="F23" s="324"/>
      <c r="G23" s="324">
        <f>IF(G8="","",G24/G8)</f>
        <v>7.7598003197826199E-2</v>
      </c>
      <c r="H23" s="324"/>
      <c r="I23" s="324">
        <f>IF(I8="","",I24/I8)</f>
        <v>9.9232928255009442E-2</v>
      </c>
      <c r="J23" s="334"/>
    </row>
    <row r="24" spans="2:13" ht="15.75" customHeight="1">
      <c r="B24" s="320" t="s">
        <v>79</v>
      </c>
      <c r="C24" s="321">
        <f>IF(C21&lt;=0,C21,C21*(1-C22))</f>
        <v>19261683.75</v>
      </c>
      <c r="D24" s="321"/>
      <c r="E24" s="322">
        <f>IF(E21="","",IF(E21&lt;=0,E21,E21*(1-E22)))</f>
        <v>18553954.620550066</v>
      </c>
      <c r="F24" s="321"/>
      <c r="G24" s="322">
        <f>IF(G21="","",IF(G21&lt;=0,G21,G21*(1-G22)))</f>
        <v>18615431.841482341</v>
      </c>
      <c r="H24" s="321"/>
      <c r="I24" s="322">
        <f>IF(I21="","",IF(I21&lt;=0,I21,I21*(1-I22)))</f>
        <v>26103413.341686584</v>
      </c>
      <c r="J24" s="335"/>
    </row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phoneticPr fontId="31" type="noConversion"/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priority="7">
      <formula>LEN(TRIM(I16))=0</formula>
    </cfRule>
    <cfRule type="containsBlanks" dxfId="2" priority="6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223</v>
      </c>
      <c r="C2" s="284" t="s">
        <v>261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6">
        <f>Operation!C3</f>
        <v>44561</v>
      </c>
      <c r="D3" s="276">
        <f>Operation!E3</f>
        <v>44926</v>
      </c>
      <c r="E3" s="276">
        <f>Operation!G3</f>
        <v>45291</v>
      </c>
      <c r="F3" s="276">
        <f>Operation!I3</f>
        <v>45657</v>
      </c>
      <c r="G3" s="28" t="s">
        <v>259</v>
      </c>
      <c r="I3" s="72" t="s">
        <v>139</v>
      </c>
    </row>
    <row r="4" spans="1:10" ht="15.75" customHeight="1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2">
        <f>IF(F3="",IF(E3="",1,2),3)</f>
        <v>3</v>
      </c>
      <c r="H4" s="6"/>
      <c r="I4" s="79"/>
      <c r="J4" s="56"/>
    </row>
    <row r="5" spans="1:10" ht="15.75" customHeight="1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7">
        <f>E6</f>
        <v>0.39560000000000001</v>
      </c>
      <c r="G6" s="199"/>
      <c r="H6" s="6"/>
      <c r="I6" s="77"/>
    </row>
    <row r="7" spans="1:10" ht="15" customHeight="1" thickBot="1">
      <c r="B7" s="81" t="s">
        <v>268</v>
      </c>
      <c r="C7" s="308">
        <f>C4*C6</f>
        <v>7619922.0915000001</v>
      </c>
      <c r="D7" s="308">
        <f>D4*D6</f>
        <v>7339944.4478896065</v>
      </c>
      <c r="E7" s="309">
        <f>E4*E6</f>
        <v>7364264.8364904141</v>
      </c>
      <c r="F7" s="309">
        <f>F4*F6</f>
        <v>10326510.317971213</v>
      </c>
      <c r="G7" s="200"/>
      <c r="H7" s="82"/>
      <c r="I7" s="56"/>
      <c r="J7" s="56"/>
    </row>
    <row r="8" spans="1:10" ht="15.75" customHeight="1" thickTop="1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>
      <c r="B9" s="203" t="s">
        <v>216</v>
      </c>
      <c r="C9" s="193">
        <f>C8/(Common_Shares/Data!$C$4)</f>
        <v>0.4056523499607021</v>
      </c>
      <c r="D9" s="304">
        <f>D8/(Common_Shares/Data!$C$4)</f>
        <v>0.39074752708938854</v>
      </c>
      <c r="E9" s="304">
        <f>IF(E8="","",E8/(Common_Shares/Data!$C$4))</f>
        <v>0.39204224148008815</v>
      </c>
      <c r="F9" s="304">
        <f>IF(F8="","",F8/(Common_Shares/Data!$C$4))</f>
        <v>0.54973963343421128</v>
      </c>
      <c r="G9" s="305">
        <f>G8*Data!C$4/Dashboard!I5</f>
        <v>0.54973963343421139</v>
      </c>
      <c r="H9" s="82"/>
      <c r="I9" s="56"/>
      <c r="J9" s="56"/>
    </row>
    <row r="10" spans="1:10" ht="15.75" customHeight="1">
      <c r="B10" s="233" t="s">
        <v>246</v>
      </c>
      <c r="C10" s="310">
        <f>C11/C9</f>
        <v>0.44372971096417324</v>
      </c>
      <c r="D10" s="310">
        <f>D11/D9</f>
        <v>0.46065550648724302</v>
      </c>
      <c r="E10" s="342"/>
      <c r="F10" s="342"/>
      <c r="G10" s="234"/>
      <c r="H10" s="82"/>
      <c r="I10" s="56"/>
      <c r="J10" s="56"/>
    </row>
    <row r="11" spans="1:10" ht="15.75" customHeight="1">
      <c r="B11" s="233" t="s">
        <v>260</v>
      </c>
      <c r="C11" s="282">
        <v>0.18</v>
      </c>
      <c r="D11" s="283">
        <v>0.18</v>
      </c>
      <c r="E11" s="343"/>
      <c r="F11" s="343"/>
      <c r="G11" s="281"/>
      <c r="H11" s="82"/>
      <c r="I11" s="56"/>
      <c r="J11" s="56"/>
    </row>
    <row r="12" spans="1:10" ht="15.75" customHeight="1">
      <c r="B12" s="19" t="s">
        <v>277</v>
      </c>
      <c r="C12" s="235">
        <v>0</v>
      </c>
      <c r="D12" s="235">
        <f>D11</f>
        <v>0.18</v>
      </c>
      <c r="E12" s="344"/>
      <c r="F12" s="344"/>
      <c r="G12" s="229">
        <f>G9*D26</f>
        <v>5.4973963343421142</v>
      </c>
      <c r="H12" s="82"/>
      <c r="I12" s="56"/>
      <c r="J12" s="56"/>
    </row>
    <row r="13" spans="1:10" ht="15.75" customHeight="1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3" t="str">
        <f>IF(F21+G21=G19,"⇒","Error!")</f>
        <v>⇒</v>
      </c>
      <c r="F20" s="146" t="s">
        <v>244</v>
      </c>
      <c r="G20" s="87" t="s">
        <v>23</v>
      </c>
    </row>
    <row r="21" spans="1:9" ht="15.75" customHeight="1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3"/>
      <c r="F21" s="148">
        <f>D18</f>
        <v>1.8479476691962653</v>
      </c>
      <c r="G21" s="147">
        <f>SUM(D19:D21)</f>
        <v>-1.2689552864647164</v>
      </c>
    </row>
    <row r="22" spans="1:9" ht="15.75" customHeight="1">
      <c r="F22" s="6"/>
      <c r="G22" s="6"/>
    </row>
    <row r="23" spans="1:9" ht="15.75" customHeight="1">
      <c r="B23" s="26" t="s">
        <v>222</v>
      </c>
      <c r="C23" s="194" t="str">
        <f>B3</f>
        <v>(Numbers in 1000CNY)</v>
      </c>
      <c r="E23" s="456" t="s">
        <v>229</v>
      </c>
      <c r="F23" s="456"/>
      <c r="G23" s="456"/>
    </row>
    <row r="24" spans="1:9" ht="15.75" customHeight="1">
      <c r="B24" s="127" t="str">
        <f>"Exit after Year "&amp;G4</f>
        <v>Exit after Year 3</v>
      </c>
      <c r="C24" s="127" t="s">
        <v>225</v>
      </c>
      <c r="D24" s="202" t="s">
        <v>218</v>
      </c>
      <c r="E24" s="303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>
      <c r="B25" s="30" t="s">
        <v>299</v>
      </c>
      <c r="C25" s="14">
        <f>1/D25</f>
        <v>0.16666666666666666</v>
      </c>
      <c r="D25" s="296">
        <v>6</v>
      </c>
      <c r="E25" s="206">
        <f ca="1">G9*D25/G14</f>
        <v>2.4244502510371473</v>
      </c>
      <c r="F25" s="454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>
      <c r="B26" s="300" t="s">
        <v>300</v>
      </c>
      <c r="C26" s="301">
        <f t="shared" ref="C26" si="0">1/D26</f>
        <v>0.1</v>
      </c>
      <c r="D26" s="313">
        <v>10</v>
      </c>
      <c r="E26" s="207">
        <f ca="1">G9*D26/G14</f>
        <v>4.0407504183952456</v>
      </c>
      <c r="F26" s="455"/>
      <c r="G26" s="207">
        <f ca="1">$F$25+E26+$G$19</f>
        <v>5.7540601449559938</v>
      </c>
      <c r="I26" s="74"/>
    </row>
    <row r="27" spans="1:9" ht="15.75" customHeight="1">
      <c r="B27" s="30"/>
      <c r="C27" s="358"/>
      <c r="D27" s="359"/>
      <c r="E27" s="123"/>
      <c r="F27" s="124"/>
      <c r="G27" s="123"/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150</v>
      </c>
      <c r="C30" s="251">
        <f ca="1">MIN(Asset_Model!D7,G25*Exchange_Rate)+(ABS(Asset_Model!D7-G25*Exchange_Rate)*'Qualitative Analysis'!E8)*Exchange_Rate</f>
        <v>1.6805439928309407</v>
      </c>
      <c r="D30" s="23" t="str">
        <f ca="1">IF(C30&lt;E30,"&lt;",IF(C30=E30,"=","&gt;"))</f>
        <v>&lt;</v>
      </c>
      <c r="E30" s="250">
        <f ca="1">G26*Exchange_Rate</f>
        <v>6.4824877318232357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1" t="s">
        <v>151</v>
      </c>
      <c r="D32" s="452"/>
      <c r="E32" s="30" t="s">
        <v>217</v>
      </c>
      <c r="F32" s="30" t="s">
        <v>18</v>
      </c>
      <c r="G32" s="30"/>
      <c r="H32" s="6"/>
    </row>
    <row r="33" spans="2:9" ht="15.75" customHeight="1">
      <c r="B33" s="255" t="s">
        <v>231</v>
      </c>
      <c r="C33" s="252">
        <f ca="1">MIN(C30,E30)+ABS(C30-E30)*'Qualitative Analysis'!$E$64</f>
        <v>3.4720446697403617</v>
      </c>
      <c r="D33" s="119" t="str">
        <f>Dashboard!J4</f>
        <v>HKD</v>
      </c>
      <c r="E33" s="120">
        <f ca="1">(C33-G19)/C9</f>
        <v>7.1318514173258949</v>
      </c>
      <c r="F33" s="158">
        <f ca="1">C33/(Data!C28*Exchange_Rate*Data!C4/Common_Shares)</f>
        <v>0.48519495021265863</v>
      </c>
      <c r="G33" s="87"/>
      <c r="H33" s="6"/>
      <c r="I33" s="74"/>
    </row>
    <row r="34" spans="2:9" ht="15.75" customHeight="1">
      <c r="B34" s="254" t="s">
        <v>230</v>
      </c>
      <c r="C34" s="253">
        <f ca="1">MAX(Asset_Model!D7,(G12/(1+G34)^G4+F25+G19)*Exchange_Rate)</f>
        <v>6.9295305059081249</v>
      </c>
      <c r="D34" s="208" t="str">
        <f>D33</f>
        <v>HKD</v>
      </c>
      <c r="E34" s="120">
        <f ca="1">(C34-G19)/C9</f>
        <v>15.655124699245032</v>
      </c>
      <c r="F34" s="158">
        <f ca="1">C34/(Data!C28*Exchange_Rate*Data!C4/Common_Shares)</f>
        <v>0.96835540110220242</v>
      </c>
      <c r="G34" s="279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152</v>
      </c>
      <c r="C2" s="95"/>
      <c r="D2" s="12"/>
      <c r="E2" s="12"/>
      <c r="G2" s="72" t="s">
        <v>139</v>
      </c>
    </row>
    <row r="3" spans="1:7" ht="14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156</v>
      </c>
      <c r="C10" s="20"/>
      <c r="D10" s="20"/>
      <c r="E10" s="12"/>
      <c r="G10" s="293"/>
    </row>
    <row r="11" spans="1:7" ht="15" customHeight="1">
      <c r="B11" s="99" t="s">
        <v>157</v>
      </c>
      <c r="C11" s="93"/>
      <c r="E11" s="6"/>
      <c r="G11" s="293"/>
    </row>
    <row r="12" spans="1:7" ht="15" customHeight="1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3" t="s">
        <v>283</v>
      </c>
    </row>
    <row r="13" spans="1:7" ht="15" customHeight="1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3"/>
    </row>
    <row r="14" spans="1:7" ht="15" customHeight="1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3"/>
    </row>
    <row r="15" spans="1:7" ht="15" customHeight="1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3"/>
    </row>
    <row r="16" spans="1:7" ht="15" customHeight="1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3"/>
    </row>
    <row r="17" spans="2:7" ht="15" customHeight="1">
      <c r="B17" s="99" t="s">
        <v>164</v>
      </c>
      <c r="D17" s="38"/>
      <c r="E17" s="23"/>
      <c r="G17" s="293"/>
    </row>
    <row r="18" spans="2:7" ht="15" customHeight="1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3"/>
    </row>
    <row r="20" spans="2:7" ht="15" customHeight="1">
      <c r="B20" s="53" t="s">
        <v>166</v>
      </c>
      <c r="D20" s="100">
        <f t="shared" si="1"/>
        <v>0</v>
      </c>
      <c r="E20" s="31" t="s">
        <v>176</v>
      </c>
      <c r="F20" s="6"/>
      <c r="G20" s="293"/>
    </row>
    <row r="21" spans="2:7" ht="15" customHeight="1">
      <c r="B21" s="53" t="s">
        <v>167</v>
      </c>
      <c r="D21" s="100">
        <f t="shared" si="1"/>
        <v>0</v>
      </c>
      <c r="E21" s="31" t="s">
        <v>176</v>
      </c>
      <c r="F21" s="6"/>
      <c r="G21" s="293"/>
    </row>
    <row r="22" spans="2:7" ht="15" customHeight="1">
      <c r="B22" s="53" t="s">
        <v>168</v>
      </c>
      <c r="D22" s="100">
        <f t="shared" si="1"/>
        <v>1</v>
      </c>
      <c r="E22" s="31" t="s">
        <v>161</v>
      </c>
      <c r="F22" s="6"/>
      <c r="G22" s="293"/>
    </row>
    <row r="23" spans="2:7" ht="15" customHeight="1">
      <c r="B23" s="99" t="s">
        <v>169</v>
      </c>
      <c r="D23" s="38"/>
      <c r="E23" s="23"/>
      <c r="G23" s="293"/>
    </row>
    <row r="24" spans="2:7" ht="15" customHeight="1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3"/>
    </row>
    <row r="25" spans="2:7" ht="15" customHeight="1">
      <c r="B25" s="53" t="s">
        <v>171</v>
      </c>
      <c r="D25" s="100">
        <f t="shared" si="2"/>
        <v>2</v>
      </c>
      <c r="E25" s="31" t="s">
        <v>153</v>
      </c>
      <c r="F25" s="6"/>
      <c r="G25" s="293"/>
    </row>
    <row r="26" spans="2:7" ht="15" customHeight="1">
      <c r="B26" s="53" t="s">
        <v>285</v>
      </c>
      <c r="D26" s="100">
        <f t="shared" si="2"/>
        <v>2</v>
      </c>
      <c r="E26" s="31" t="s">
        <v>153</v>
      </c>
      <c r="F26" s="6"/>
      <c r="G26" s="293"/>
    </row>
    <row r="27" spans="2:7" ht="15" customHeight="1">
      <c r="B27" s="53" t="s">
        <v>286</v>
      </c>
      <c r="D27" s="100">
        <f t="shared" si="2"/>
        <v>1</v>
      </c>
      <c r="E27" s="31" t="s">
        <v>161</v>
      </c>
      <c r="F27" s="6"/>
      <c r="G27" s="293"/>
    </row>
    <row r="28" spans="2:7" ht="15" customHeight="1">
      <c r="B28" s="53" t="s">
        <v>172</v>
      </c>
      <c r="D28" s="100">
        <f t="shared" si="2"/>
        <v>0</v>
      </c>
      <c r="E28" s="31" t="s">
        <v>176</v>
      </c>
      <c r="F28" s="6"/>
      <c r="G28" s="293" t="s">
        <v>318</v>
      </c>
    </row>
    <row r="29" spans="2:7" ht="15" customHeight="1">
      <c r="B29" s="99" t="s">
        <v>173</v>
      </c>
      <c r="D29" s="38"/>
      <c r="E29" s="23"/>
      <c r="G29" s="293"/>
    </row>
    <row r="30" spans="2:7" ht="15" customHeight="1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3"/>
    </row>
    <row r="31" spans="2:7" ht="15" customHeight="1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3"/>
    </row>
    <row r="32" spans="2:7" ht="15" customHeight="1">
      <c r="B32" s="53" t="s">
        <v>287</v>
      </c>
      <c r="D32" s="100">
        <f t="shared" si="3"/>
        <v>0</v>
      </c>
      <c r="E32" s="31" t="s">
        <v>176</v>
      </c>
      <c r="F32" s="6"/>
      <c r="G32" s="293"/>
    </row>
    <row r="33" spans="2:7" ht="15" customHeight="1">
      <c r="B33" s="53" t="s">
        <v>288</v>
      </c>
      <c r="D33" s="100">
        <f t="shared" si="3"/>
        <v>0</v>
      </c>
      <c r="E33" s="31" t="s">
        <v>176</v>
      </c>
      <c r="F33" s="6"/>
      <c r="G33" s="293"/>
    </row>
    <row r="34" spans="2:7" ht="15" customHeight="1">
      <c r="B34" s="53" t="s">
        <v>289</v>
      </c>
      <c r="D34" s="100">
        <f t="shared" si="3"/>
        <v>2</v>
      </c>
      <c r="E34" s="31" t="s">
        <v>153</v>
      </c>
      <c r="F34" s="6"/>
      <c r="G34" s="293"/>
    </row>
    <row r="35" spans="2:7" ht="15" customHeight="1">
      <c r="B35" s="53" t="s">
        <v>319</v>
      </c>
      <c r="D35" s="100">
        <f t="shared" si="3"/>
        <v>1</v>
      </c>
      <c r="E35" s="31" t="s">
        <v>161</v>
      </c>
      <c r="G35" s="293"/>
    </row>
    <row r="36" spans="2:7" ht="15" customHeight="1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3"/>
    </row>
    <row r="37" spans="2:7" ht="15" customHeight="1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3"/>
    </row>
    <row r="38" spans="2:7" ht="15" customHeight="1">
      <c r="B38" s="53" t="s">
        <v>290</v>
      </c>
      <c r="D38" s="100">
        <f t="shared" si="4"/>
        <v>3</v>
      </c>
      <c r="E38" s="31" t="s">
        <v>154</v>
      </c>
      <c r="F38" s="6"/>
      <c r="G38" s="293"/>
    </row>
    <row r="39" spans="2:7" ht="15" customHeight="1">
      <c r="B39" s="53" t="s">
        <v>291</v>
      </c>
      <c r="D39" s="100">
        <f t="shared" si="4"/>
        <v>3</v>
      </c>
      <c r="E39" s="31" t="s">
        <v>154</v>
      </c>
      <c r="F39" s="6"/>
      <c r="G39" s="293"/>
    </row>
    <row r="40" spans="2:7" ht="15" customHeight="1">
      <c r="B40" s="53" t="s">
        <v>292</v>
      </c>
      <c r="D40" s="100">
        <f t="shared" si="4"/>
        <v>3</v>
      </c>
      <c r="E40" s="31" t="s">
        <v>154</v>
      </c>
      <c r="F40" s="6"/>
      <c r="G40" s="293"/>
    </row>
    <row r="41" spans="2:7" ht="15" customHeight="1">
      <c r="B41" s="53" t="s">
        <v>293</v>
      </c>
      <c r="D41" s="100">
        <f t="shared" si="4"/>
        <v>0</v>
      </c>
      <c r="E41" s="31" t="s">
        <v>176</v>
      </c>
      <c r="G41" s="293"/>
    </row>
    <row r="42" spans="2:7" ht="15" customHeight="1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3"/>
    </row>
    <row r="44" spans="2:7" ht="15" customHeight="1">
      <c r="B44" s="53" t="s">
        <v>181</v>
      </c>
      <c r="D44" s="100">
        <f t="shared" si="5"/>
        <v>1</v>
      </c>
      <c r="E44" s="31" t="s">
        <v>161</v>
      </c>
      <c r="F44" s="6"/>
      <c r="G44" s="293"/>
    </row>
    <row r="45" spans="2:7" ht="15" customHeight="1">
      <c r="B45" s="53" t="s">
        <v>182</v>
      </c>
      <c r="D45" s="100">
        <f t="shared" si="5"/>
        <v>2</v>
      </c>
      <c r="E45" s="31" t="s">
        <v>153</v>
      </c>
      <c r="F45" s="6"/>
      <c r="G45" s="293"/>
    </row>
    <row r="46" spans="2:7" ht="15" customHeight="1">
      <c r="B46" s="53" t="s">
        <v>183</v>
      </c>
      <c r="D46" s="100">
        <f t="shared" si="5"/>
        <v>0</v>
      </c>
      <c r="E46" s="31" t="s">
        <v>176</v>
      </c>
      <c r="F46" s="6"/>
      <c r="G46" s="293"/>
    </row>
    <row r="47" spans="2:7" ht="15" customHeight="1">
      <c r="B47" s="53" t="s">
        <v>184</v>
      </c>
      <c r="D47" s="100">
        <f t="shared" si="5"/>
        <v>0</v>
      </c>
      <c r="E47" s="31" t="s">
        <v>176</v>
      </c>
      <c r="F47" s="6"/>
      <c r="G47" s="293"/>
    </row>
    <row r="48" spans="2:7" ht="15" customHeight="1">
      <c r="B48" s="53" t="s">
        <v>210</v>
      </c>
      <c r="D48" s="100">
        <f t="shared" si="5"/>
        <v>0</v>
      </c>
      <c r="E48" s="31" t="s">
        <v>176</v>
      </c>
      <c r="F48" s="6"/>
      <c r="G48" s="293"/>
    </row>
    <row r="49" spans="2:8" ht="15" customHeight="1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3"/>
    </row>
    <row r="51" spans="2:8" ht="15" customHeight="1">
      <c r="B51" s="53" t="s">
        <v>187</v>
      </c>
      <c r="D51" s="100">
        <f t="shared" si="6"/>
        <v>4</v>
      </c>
      <c r="E51" s="31" t="s">
        <v>163</v>
      </c>
      <c r="F51" s="6"/>
      <c r="G51" s="293"/>
    </row>
    <row r="52" spans="2:8" ht="15" customHeight="1">
      <c r="B52" s="53" t="s">
        <v>294</v>
      </c>
      <c r="D52" s="100">
        <f t="shared" si="6"/>
        <v>2</v>
      </c>
      <c r="E52" s="31" t="s">
        <v>153</v>
      </c>
      <c r="G52" s="293"/>
    </row>
    <row r="53" spans="2:8" ht="15" customHeight="1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3"/>
      <c r="H53" s="53"/>
    </row>
    <row r="54" spans="2:8" ht="15" customHeight="1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3"/>
      <c r="H54" s="53"/>
    </row>
    <row r="55" spans="2:8" ht="15" customHeight="1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3"/>
      <c r="H56" s="53"/>
    </row>
    <row r="57" spans="2:8" ht="15" customHeight="1">
      <c r="B57" s="53" t="s">
        <v>190</v>
      </c>
      <c r="D57" s="100">
        <f t="shared" si="7"/>
        <v>4</v>
      </c>
      <c r="E57" s="31" t="s">
        <v>163</v>
      </c>
      <c r="F57" s="53"/>
      <c r="G57" s="293"/>
      <c r="H57" s="53"/>
    </row>
    <row r="58" spans="2:8" ht="15" customHeight="1">
      <c r="B58" s="53" t="s">
        <v>211</v>
      </c>
      <c r="D58" s="100">
        <f t="shared" si="7"/>
        <v>1</v>
      </c>
      <c r="E58" s="31" t="s">
        <v>161</v>
      </c>
      <c r="F58" s="53"/>
      <c r="G58" s="293"/>
      <c r="H58" s="53"/>
    </row>
    <row r="59" spans="2:8" ht="15" customHeight="1">
      <c r="B59" s="53" t="s">
        <v>212</v>
      </c>
      <c r="D59" s="100">
        <f t="shared" si="7"/>
        <v>4</v>
      </c>
      <c r="E59" s="31" t="s">
        <v>163</v>
      </c>
      <c r="F59" s="53"/>
      <c r="G59" s="293"/>
      <c r="H59" s="53"/>
    </row>
    <row r="60" spans="2:8" ht="15" customHeight="1">
      <c r="B60" s="53" t="s">
        <v>213</v>
      </c>
      <c r="D60" s="100">
        <f t="shared" si="7"/>
        <v>4</v>
      </c>
      <c r="E60" s="31" t="s">
        <v>163</v>
      </c>
      <c r="F60" s="53"/>
      <c r="G60" s="293"/>
      <c r="H60" s="53"/>
    </row>
    <row r="61" spans="2:8" ht="15" customHeight="1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3"/>
      <c r="H61" s="53"/>
    </row>
    <row r="62" spans="2:8" ht="15" customHeight="1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>
      <c r="D63" s="6"/>
      <c r="G63" s="293"/>
    </row>
    <row r="64" spans="2:8" ht="15" customHeight="1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3"/>
    </row>
    <row r="65" spans="2:7" ht="15" customHeight="1">
      <c r="G65" s="294"/>
    </row>
    <row r="66" spans="2:7" ht="15" customHeight="1">
      <c r="B66" s="54" t="s">
        <v>193</v>
      </c>
      <c r="C66" s="7"/>
      <c r="D66" s="7"/>
      <c r="E66" s="55"/>
    </row>
    <row r="67" spans="2:7" ht="15" customHeight="1">
      <c r="B67" s="106" t="s">
        <v>194</v>
      </c>
      <c r="C67" s="107"/>
      <c r="D67" s="107"/>
      <c r="E67" s="108"/>
    </row>
    <row r="68" spans="2:7" ht="15" customHeight="1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2023-05-16T06:31:00Z</dcterms:modified>
  <cp:category/>
  <cp:contentStatus/>
</cp:coreProperties>
</file>