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7B98C3A9-0F9E-4A28-89AC-7C72C16E2883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32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18" i="4" l="1"/>
  <c r="G16" i="4"/>
  <c r="D18" i="4"/>
  <c r="D17" i="4"/>
  <c r="D16" i="4"/>
  <c r="D15" i="4"/>
  <c r="I25" i="7"/>
  <c r="H25" i="7"/>
  <c r="G25" i="7"/>
  <c r="F25" i="7"/>
  <c r="G23" i="7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10" i="7" l="1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C7" i="4" s="1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C17" i="4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62" i="5"/>
  <c r="E62" i="5" s="1"/>
  <c r="D63" i="3"/>
  <c r="E35" i="1"/>
  <c r="C38" i="1"/>
  <c r="D3" i="4"/>
  <c r="D27" i="4" s="1"/>
  <c r="F21" i="7"/>
  <c r="F20" i="7" s="1"/>
  <c r="C18" i="4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6" i="7"/>
  <c r="I24" i="7"/>
  <c r="C4" i="4"/>
  <c r="F27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F16" i="1"/>
  <c r="H16" i="1" s="1"/>
  <c r="D5" i="4"/>
  <c r="G27" i="7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<sst xmlns="http://schemas.openxmlformats.org/spreadsheetml/2006/main" count="487" uniqueCount="416">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</sst>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4" zoomScaleNormal="100" workbookViewId="0">
      <selection activeCell="C32" sqref="C32:D32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378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379</v>
      </c>
      <c r="D4" s="322"/>
      <c r="E4" s="6"/>
      <c r="G4" s="5" t="s">
        <v>5</v>
      </c>
      <c r="I4" s="221">
        <v>7.83</v>
      </c>
      <c r="J4" s="222" t="s">
        <v>6</v>
      </c>
      <c r="K4" s="92"/>
    </row>
    <row r="5" spans="1:12" ht="15.75" customHeight="1">
      <c r="B5" s="5" t="s">
        <v>7</v>
      </c>
      <c r="C5" s="354">
        <v>45154</v>
      </c>
      <c r="D5" s="322"/>
      <c r="E5" s="79" t="str">
        <f ca="1">IF(C5+30&gt;=TODAY(),"Patience Premium","")</f>
        <v>Patience Premium</v>
      </c>
      <c r="G5" s="5" t="s">
        <v>8</v>
      </c>
      <c r="I5" s="321">
        <v>791574976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6198.0320620800003</v>
      </c>
      <c r="J6" s="361"/>
      <c r="K6" s="91"/>
    </row>
    <row r="7" spans="1:12" ht="15.75" customHeight="1">
      <c r="B7" s="86" t="s">
        <v>10</v>
      </c>
      <c r="C7" s="218">
        <f>(Data!C42*Exchange_Rate)/I4</f>
        <v>2.936415916811546E-2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10.641293537276098</v>
      </c>
      <c r="J9" s="166">
        <f>IF(I9="NNI","NNI",1/I9)</f>
        <v>9.3973537756197892E-2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1.5059217459466303</v>
      </c>
      <c r="J10" s="223">
        <f>I4/(Data!C7*Data!C4/Common_Shares*Exchange_Rate)</f>
        <v>0.57804732204782139</v>
      </c>
    </row>
    <row r="11" spans="1:12" ht="15.75" customHeight="1" thickBot="1">
      <c r="B11" s="124" t="s">
        <v>227</v>
      </c>
      <c r="C11" s="331">
        <f ca="1">C12-D10</f>
        <v>6.7000000000000004E-2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9.6000000000000002E-2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8.4067921463450137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7.83</v>
      </c>
      <c r="C16" s="347">
        <v>0.2</v>
      </c>
      <c r="D16" s="238">
        <f ca="1">I37/B16-(1+C16)</f>
        <v>0.1828275212607422</v>
      </c>
      <c r="E16" s="341" t="s">
        <v>21</v>
      </c>
      <c r="F16" s="362">
        <f>(Val_Models!G16)*Exchange_Rate</f>
        <v>1.9014280008323869</v>
      </c>
      <c r="G16" s="341" t="s">
        <v>22</v>
      </c>
      <c r="H16" s="239">
        <f>B16-$F$16</f>
        <v>5.9285719991676133</v>
      </c>
      <c r="I16" s="336">
        <v>2.3E-2</v>
      </c>
      <c r="J16" s="166">
        <f>I16/B16</f>
        <v>2.9374201787994892E-3</v>
      </c>
    </row>
    <row r="17" spans="1:10" ht="15.75" customHeight="1">
      <c r="B17" s="116">
        <f ca="1">MIN((I37+I38)/2,I37/(1+C16), IF(J20=0,E14,I37/(1+C16)))</f>
        <v>8.7764866042738117</v>
      </c>
      <c r="C17" s="348"/>
      <c r="D17" s="149">
        <f ca="1">I37/B17-(1+C16)</f>
        <v>3.369862903898424E-2</v>
      </c>
      <c r="E17" s="342"/>
      <c r="F17" s="363"/>
      <c r="G17" s="342"/>
      <c r="H17" s="236">
        <f ca="1">B17-$F$16</f>
        <v>6.8750586034414249</v>
      </c>
      <c r="I17" s="337"/>
      <c r="J17" s="149">
        <f ca="1">I16/B17</f>
        <v>2.6206386492745154E-3</v>
      </c>
    </row>
    <row r="18" spans="1:10" ht="15.75" customHeight="1">
      <c r="B18" s="129">
        <f>C37</f>
        <v>7.44</v>
      </c>
      <c r="C18" s="349"/>
      <c r="D18" s="237">
        <f ca="1">I37/B18-(1+C16)</f>
        <v>0.25531444777844237</v>
      </c>
      <c r="E18" s="343"/>
      <c r="F18" s="364"/>
      <c r="G18" s="343"/>
      <c r="H18" s="98">
        <f>B18-$F$16</f>
        <v>5.5385719991676137</v>
      </c>
      <c r="I18" s="338"/>
      <c r="J18" s="158">
        <f>I16/B18</f>
        <v>3.0913978494623655E-3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7" t="s">
        <v>382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383</v>
      </c>
      <c r="D22" s="352"/>
      <c r="E22" s="352"/>
      <c r="F22" s="352"/>
      <c r="G22" s="366" t="s">
        <v>384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386</v>
      </c>
      <c r="D23" s="340"/>
      <c r="E23" s="340"/>
      <c r="F23" s="340"/>
      <c r="G23" s="339" t="s">
        <v>385</v>
      </c>
      <c r="H23" s="339"/>
      <c r="I23" s="340"/>
      <c r="J23" s="340"/>
    </row>
    <row r="24" spans="1:10" ht="52.5" customHeight="1">
      <c r="A24" s="6"/>
      <c r="B24" s="19" t="s">
        <v>292</v>
      </c>
      <c r="C24" s="369" t="s">
        <v>407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291</v>
      </c>
      <c r="C25" s="370" t="s">
        <v>408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5"/>
      <c r="D28" s="356"/>
      <c r="E28" s="346" t="str">
        <f>IF(C28="","","Action_Planning")</f>
        <v/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0.18036363636363636</v>
      </c>
      <c r="D29" s="329"/>
      <c r="E29" s="334">
        <f>E33/D27</f>
        <v>0</v>
      </c>
      <c r="F29" s="329"/>
      <c r="G29" s="345">
        <f>G33/D27</f>
        <v>0</v>
      </c>
      <c r="H29" s="345"/>
      <c r="I29" s="344">
        <f>C29+E29+G29</f>
        <v>0.18036363636363636</v>
      </c>
      <c r="J29" s="344"/>
    </row>
    <row r="30" spans="1:10" ht="15.75" customHeight="1">
      <c r="B30" s="18" t="s">
        <v>32</v>
      </c>
      <c r="C30" s="321">
        <v>16000</v>
      </c>
      <c r="D30" s="322"/>
      <c r="E30" s="321"/>
      <c r="F30" s="322"/>
      <c r="G30" s="321"/>
      <c r="H30" s="321"/>
      <c r="I30" s="350">
        <f>C30+E30+G30</f>
        <v>16000</v>
      </c>
      <c r="J30" s="350"/>
    </row>
    <row r="31" spans="1:10" ht="15.75" customHeight="1">
      <c r="B31" s="18" t="s">
        <v>33</v>
      </c>
      <c r="C31" s="323">
        <v>7.44</v>
      </c>
      <c r="D31" s="322"/>
      <c r="E31" s="323"/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5889.3178214400004</v>
      </c>
      <c r="D32" s="329"/>
      <c r="E32" s="330">
        <f>E31*$I$5/1000000</f>
        <v>0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119040</v>
      </c>
      <c r="D33" s="327"/>
      <c r="E33" s="326">
        <f>E30*E31</f>
        <v>0</v>
      </c>
      <c r="F33" s="327"/>
      <c r="G33" s="326">
        <f>G30*G31</f>
        <v>0</v>
      </c>
      <c r="H33" s="326"/>
      <c r="I33" s="326">
        <f>C33+E33+G33</f>
        <v>119040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7.44</v>
      </c>
      <c r="F34" s="329"/>
      <c r="G34" s="78"/>
      <c r="H34" s="78"/>
      <c r="I34" s="328">
        <f>IF(I33=0,"",I33/I30)</f>
        <v>7.44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5889.3178214400004</v>
      </c>
      <c r="F35" s="325"/>
      <c r="G35" s="230"/>
      <c r="H35" s="230"/>
      <c r="I35" s="324">
        <f>IF(I34="","",I34*$I$5/1000000)</f>
        <v>5889.3178214400004</v>
      </c>
      <c r="J35" s="324"/>
    </row>
    <row r="36" spans="2:11" ht="15.75" customHeight="1"/>
    <row r="37" spans="2:11" ht="15.75" customHeight="1">
      <c r="B37" s="87" t="s">
        <v>256</v>
      </c>
      <c r="C37" s="374">
        <f>C31</f>
        <v>7.44</v>
      </c>
      <c r="D37" s="375"/>
      <c r="E37" s="79" t="str">
        <f ca="1">IF(C37&gt;B17,"Caution! &gt; Breakeven price!","")</f>
        <v/>
      </c>
      <c r="F37" s="6"/>
      <c r="G37" s="371" t="s">
        <v>316</v>
      </c>
      <c r="H37" s="371"/>
      <c r="I37" s="372">
        <f ca="1">Val_Models!C46</f>
        <v>10.827539491471612</v>
      </c>
      <c r="J37" s="373"/>
    </row>
    <row r="38" spans="2:11" ht="15.75" customHeight="1">
      <c r="B38" s="87" t="s">
        <v>281</v>
      </c>
      <c r="C38" s="374">
        <f>E34</f>
        <v>7.44</v>
      </c>
      <c r="D38" s="375"/>
      <c r="E38" s="6"/>
      <c r="F38" s="6"/>
      <c r="G38" s="371" t="s">
        <v>280</v>
      </c>
      <c r="H38" s="371"/>
      <c r="I38" s="372">
        <f ca="1">Val_Models!C47</f>
        <v>6.7254337170760108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0.45531444777844232</v>
      </c>
      <c r="F47" s="171">
        <f ca="1">I37/C38-1</f>
        <v>0.45531444777844232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-9.6043855231718989E-2</v>
      </c>
      <c r="F48" s="171">
        <f ca="1">Val_Models!C47/C38-1</f>
        <v>-9.6043855231718989E-2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0.59619055326831849</v>
      </c>
      <c r="F50" s="171">
        <f ca="1">IF(F47&lt;=0,0,AVERAGE(F41:F44,0.5*(1+F47+F48-C16)))</f>
        <v>0.59619055326831849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4.7406931623052166</v>
      </c>
      <c r="F51" s="234">
        <f ca="1">IF(F48&gt;=0,100,F47/ABS(F48))</f>
        <v>4.7406931623052166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2.8233649296961296</v>
      </c>
      <c r="F52" s="232">
        <f ca="1">MAX(C16*2.5/F47,1)+IF(F47&lt;C16,100,0)+IF(D18&lt;0,100,0)+IF(J20=1,2/(1+F47+F48-C16),0)</f>
        <v>2.8233649296961296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0.18099365684417548</v>
      </c>
      <c r="F53" s="217">
        <f ca="1">MIN(MAX(F50-ABS((1-F50)/F51),0)/F52,H53)</f>
        <v>0.18099365684417548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409</v>
      </c>
    </row>
    <row r="65" spans="2:2" ht="15.75" customHeight="1">
      <c r="B65" s="3" t="s">
        <v>412</v>
      </c>
    </row>
    <row r="66" spans="2:2" ht="15.75" customHeight="1">
      <c r="B66" s="3" t="s">
        <v>411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414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0" sqref="D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1047638.7241246243</v>
      </c>
      <c r="E6" s="149">
        <f>1-D6/D3</f>
        <v>0.74366038651515942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1.3234864111275597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388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399</v>
      </c>
      <c r="G23" s="6"/>
      <c r="H23" s="6"/>
      <c r="I23" s="6"/>
    </row>
    <row r="24" spans="2:10" ht="15" customHeight="1">
      <c r="B24" s="41" t="s">
        <v>389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397</v>
      </c>
      <c r="I24" s="312">
        <f>I11+I12+I13</f>
        <v>721194</v>
      </c>
    </row>
    <row r="25" spans="2:10" ht="15" customHeight="1">
      <c r="B25" s="41" t="s">
        <v>393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400</v>
      </c>
      <c r="I25" s="184">
        <f>E28/I28</f>
        <v>1.1452720082709331</v>
      </c>
    </row>
    <row r="26" spans="2:10" ht="15" customHeight="1">
      <c r="B26" s="41" t="s">
        <v>391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392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390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398</v>
      </c>
      <c r="I44" s="312">
        <f>I30+I31+I32</f>
        <v>84082</v>
      </c>
    </row>
    <row r="45" spans="2:10" ht="15" customHeight="1">
      <c r="B45" s="41" t="s">
        <v>394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395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396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50606</v>
      </c>
      <c r="D53" s="54">
        <f>IF(E53=0, 0,E53/C53)</f>
        <v>1.5059217459466303</v>
      </c>
      <c r="E53" s="51">
        <f>MAX(C53,C53*Dashboard!I10)</f>
        <v>76208.675875375178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4666182.7379553756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I25" sqref="I25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401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405</v>
      </c>
      <c r="L4" s="36"/>
    </row>
    <row r="5" spans="1:12" ht="15.75" customHeight="1">
      <c r="B5" s="118" t="s">
        <v>402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403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404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415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>
      <c r="B24" s="14" t="s">
        <v>413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-10442.304827999877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401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402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403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404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360</v>
      </c>
      <c r="J76" s="296"/>
      <c r="K76" s="296"/>
      <c r="L76" s="296"/>
      <c r="M76" s="296"/>
    </row>
    <row r="78" spans="2:13" ht="13">
      <c r="B78" s="297" t="s">
        <v>365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363</v>
      </c>
      <c r="J80" s="295"/>
      <c r="K80" s="295"/>
      <c r="L80" s="295"/>
      <c r="M80" s="295"/>
    </row>
    <row r="81" spans="2:13">
      <c r="B81" s="292" t="s">
        <v>364</v>
      </c>
      <c r="J81" s="295"/>
      <c r="K81" s="295"/>
      <c r="L81" s="295"/>
      <c r="M81" s="295"/>
    </row>
    <row r="82" spans="2:13">
      <c r="B82" s="292" t="s">
        <v>362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topLeftCell="A7" zoomScaleNormal="100" zoomScalePageLayoutView="80" workbookViewId="0">
      <selection activeCell="F18" sqref="F1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406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-10442.304827999877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-1.319180765512208E-2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-1.319180765512208E-2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C15*Data!C4/Common_Shares</f>
        <v>2.9812476032592521</v>
      </c>
      <c r="E15" s="52" t="s">
        <v>199</v>
      </c>
      <c r="G15" s="199">
        <f>C15+C16+C17+C18</f>
        <v>1505122.8241246247</v>
      </c>
    </row>
    <row r="16" spans="1:10" ht="15.75" customHeight="1">
      <c r="B16" s="37" t="s">
        <v>205</v>
      </c>
      <c r="C16" s="51">
        <f>Asset_Model!E61</f>
        <v>26726.5</v>
      </c>
      <c r="D16" s="106">
        <f>C16*Data!C4/Common_Shares</f>
        <v>3.3763699978307554E-2</v>
      </c>
      <c r="E16" s="52" t="s">
        <v>275</v>
      </c>
      <c r="G16" s="264">
        <f>(G15+MIN(D4,0))*Data!C$4/Common_Shares</f>
        <v>1.9014280008323869</v>
      </c>
    </row>
    <row r="17" spans="1:9" ht="15.75" customHeight="1">
      <c r="B17" s="37" t="s">
        <v>192</v>
      </c>
      <c r="C17" s="51">
        <f>-Asset_Model!D55</f>
        <v>-805276</v>
      </c>
      <c r="D17" s="106">
        <f>C17*Data!C4/Common_Shares</f>
        <v>-1.0173085613055055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-76208.675875375178</v>
      </c>
      <c r="D18" s="106">
        <f>C18*Data!C4/Common_Shares</f>
        <v>-9.6274741099667077E-2</v>
      </c>
      <c r="E18" s="342"/>
      <c r="F18" s="89">
        <f>D15+(MIN(D4,0)*Data!C$4/Common_Shares)</f>
        <v>2.9812476032592521</v>
      </c>
      <c r="G18" s="88">
        <f>SUM(D16:D18)</f>
        <v>-1.0798196024268651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387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11.116487894792453</v>
      </c>
      <c r="G22" s="271">
        <f>F22*Exchange_Rate</f>
        <v>11.116487894792453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20.194009581379976</v>
      </c>
      <c r="G23" s="272">
        <f>F23*Exchange_Rate</f>
        <v>20.194009581379976</v>
      </c>
      <c r="I23" s="43" t="s">
        <v>410</v>
      </c>
    </row>
    <row r="24" spans="1:9" ht="15.5" customHeight="1">
      <c r="C24" s="6"/>
      <c r="D24" s="6"/>
      <c r="E24" s="391" t="s">
        <v>335</v>
      </c>
      <c r="F24" s="392"/>
      <c r="G24" s="143">
        <f>MIN(G22,G23)+ABS(G22-G23)*Qualitative_Analysis!$E$64</f>
        <v>15.392649003581361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-1932413.4321999999</v>
      </c>
      <c r="D28" s="51">
        <f>D8</f>
        <v>-10442.304827999877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-1956571.7122</v>
      </c>
      <c r="D33" s="210">
        <f>D28-D32</f>
        <v>-37016.412827999884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-2.4717452819023928</v>
      </c>
      <c r="D34" s="245">
        <f>D33/(Common_Shares/Data!$C$4)</f>
        <v>-4.6762990178203769E-2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-4.6762990178203769E-2</v>
      </c>
      <c r="H34" s="6"/>
      <c r="I34" s="43"/>
    </row>
    <row r="35" spans="1:9" ht="15.75" customHeight="1">
      <c r="B35" s="141" t="s">
        <v>306</v>
      </c>
      <c r="C35" s="273">
        <f>Dashboard!C31</f>
        <v>7.44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0.7142400000000001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-0.76100299017820383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0.95800451326530622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-0.79436263570864252</v>
      </c>
      <c r="I39" s="43"/>
    </row>
    <row r="40" spans="1:9" ht="15.75" customHeight="1">
      <c r="B40" s="20" t="s">
        <v>333</v>
      </c>
      <c r="C40" s="6"/>
      <c r="D40" s="6"/>
      <c r="E40" s="393" t="s">
        <v>321</v>
      </c>
      <c r="F40" s="371"/>
      <c r="G40" s="280">
        <f>Asset_Model!D7</f>
        <v>1.3234864111275597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0.5291237754189172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8.4067921463450137</v>
      </c>
      <c r="D44" s="262" t="str">
        <f>Dashboard!J4</f>
        <v>HKD</v>
      </c>
      <c r="E44" s="263">
        <f ca="1">(C44-G16)/C9</f>
        <v>-2.664793869442768</v>
      </c>
      <c r="F44" s="263">
        <f ca="1">C44/(Data!C29*Exchange_Rate*Data!C4/Common_Shares)</f>
        <v>1.6168545474884166</v>
      </c>
      <c r="G44" s="263">
        <f ca="1">C44/(Data!C7*Data!C4*Exchange_Rate/Common_Shares)</f>
        <v>0.6206288233981343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-4.7698065135998355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10.827539491471612</v>
      </c>
      <c r="D46" s="256" t="str">
        <f>D45</f>
        <v>HKD</v>
      </c>
      <c r="E46" s="223">
        <f ca="1">(C46-G16)/C9</f>
        <v>-3.6564051828867576</v>
      </c>
      <c r="F46" s="223">
        <f ca="1">C46/(Asset_Model!I3*Exchange_Rate*Data!C4/Common_Shares)</f>
        <v>2.1234263943240976</v>
      </c>
      <c r="G46" s="223">
        <f ca="1">C46/(Data!C7*Data!C4*Exchange_Rate/Common_Shares)</f>
        <v>0.79933974551879883</v>
      </c>
    </row>
    <row r="47" spans="1:9" ht="15.75" customHeight="1">
      <c r="B47" s="84" t="s">
        <v>280</v>
      </c>
      <c r="C47" s="259">
        <f ca="1">MAX(G41,C44)/(1+Dashboard!I14)</f>
        <v>6.7254337170760108</v>
      </c>
      <c r="D47" s="260" t="str">
        <f>D45</f>
        <v>HKD</v>
      </c>
      <c r="E47" s="224">
        <f ca="1">(C47-G16)/C9</f>
        <v>-1.9760586142852881</v>
      </c>
      <c r="F47" s="224">
        <f ca="1">C47/(Asset_Model!I3*Exchange_Rate*Data!C4/Common_Shares)</f>
        <v>1.3189481764869044</v>
      </c>
      <c r="G47" s="224">
        <f ca="1">C47/(Data!C7*Data!C4*Exchange_Rate/Common_Shares)</f>
        <v>0.49650305871850747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2023-09-07T09:07:24Z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