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F4DC73E-9975-4D5B-A262-E5C2D4AA1C94}" xr6:coauthVersionLast="47" xr6:coauthVersionMax="47" xr10:uidLastSave="{00000000-0000-0000-0000-000000000000}"/>
  <bookViews>
    <workbookView xWindow="38160" yWindow="6510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0" i="4" l="1"/>
  <c r="D16" i="4"/>
  <c r="D17" i="4"/>
  <c r="D15" i="4"/>
  <c r="F18" i="4" l="1"/>
  <c r="F6" i="4"/>
  <c r="F7" i="4"/>
  <c r="I7" i="7"/>
  <c r="I12" i="7" s="1"/>
  <c r="I21" i="7"/>
  <c r="I13" i="7"/>
  <c r="E30" i="4"/>
  <c r="E6" i="4"/>
  <c r="H21" i="7"/>
  <c r="H8" i="7"/>
  <c r="H12" i="7"/>
  <c r="H13" i="7"/>
  <c r="H7" i="7"/>
  <c r="G21" i="7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G10" i="7" s="1"/>
  <c r="E7" i="7"/>
  <c r="D7" i="7"/>
  <c r="C13" i="7"/>
  <c r="D13" i="7"/>
  <c r="E13" i="7"/>
  <c r="F13" i="7"/>
  <c r="I15" i="3"/>
  <c r="C37" i="1"/>
  <c r="B18" i="1" s="1"/>
  <c r="J20" i="1"/>
  <c r="F42" i="1"/>
  <c r="I20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D14" i="7" l="1"/>
  <c r="D15" i="7"/>
  <c r="E15" i="7"/>
  <c r="G8" i="7"/>
  <c r="G20" i="7" s="1"/>
  <c r="B16" i="1" l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8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62" i="3"/>
  <c r="C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G16" i="4" s="1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F16" i="1"/>
  <c r="H16" i="1" s="1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12" i="4" s="1"/>
  <c r="E7" i="4"/>
  <c r="F31" i="4"/>
  <c r="I19" i="7"/>
  <c r="I18" i="7" l="1"/>
  <c r="F4" i="4"/>
  <c r="D12" i="4"/>
  <c r="D38" i="4"/>
  <c r="D39" i="4" s="1"/>
  <c r="E5" i="4"/>
  <c r="H25" i="7"/>
  <c r="E8" i="4"/>
  <c r="E28" i="4" s="1"/>
  <c r="E32" i="4" s="1"/>
  <c r="F5" i="4" l="1"/>
  <c r="F10" i="4"/>
  <c r="F8" i="4"/>
  <c r="F28" i="4" s="1"/>
  <c r="F32" i="4" s="1"/>
  <c r="F33" i="4" s="1"/>
  <c r="F34" i="4" s="1"/>
  <c r="E33" i="4"/>
  <c r="E34" i="4" s="1"/>
  <c r="F9" i="4"/>
  <c r="G9" i="4"/>
  <c r="E35" i="4"/>
  <c r="E38" i="4"/>
  <c r="E9" i="4"/>
  <c r="F11" i="4" l="1"/>
  <c r="F12" i="4" s="1"/>
  <c r="F35" i="4"/>
  <c r="F36" i="4" s="1"/>
  <c r="F37" i="4" s="1"/>
  <c r="G38" i="4"/>
  <c r="G34" i="4"/>
  <c r="G37" i="4" s="1"/>
  <c r="G11" i="4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  <c r="I23" i="7"/>
  <c r="I25" i="7" s="1"/>
</calcChain>
</file>

<file path=xl/sharedStrings.xml><?xml version="1.0" encoding="utf-8"?>
<sst xmlns="http://schemas.openxmlformats.org/spreadsheetml/2006/main" count="482" uniqueCount="415">
  <si>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</si>
  <si>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</si>
  <si>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</si>
  <si>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</si>
  <si>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</si>
  <si>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</si>
  <si>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</si>
  <si>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</si>
  <si>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</si>
  <si>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</si>
  <si>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</si>
  <si>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</si>
  <si>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</si>
  <si>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</si>
  <si>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</si>
  <si>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</si>
  <si>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</si>
  <si>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</si>
  <si>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</si>
  <si>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</si>
  <si>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</si>
  <si>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</si>
  <si>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</si>
  <si>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</si>
  <si>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</si>
  <si>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</si>
  <si>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</si>
  <si>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</si>
  <si>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</si>
  <si>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</si>
  <si>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</si>
  <si>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</si>
  <si>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</si>
  <si>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</si>
  <si>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</si>
  <si>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</si>
  <si>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</si>
  <si>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</si>
  <si>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</si>
  <si>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</si>
  <si>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</si>
  <si>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</si>
  <si>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</si>
  <si>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</si>
  <si>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</si>
  <si>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</si>
  <si>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</si>
  <si>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</si>
  <si>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</si>
  <si>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</si>
  <si>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</si>
  <si>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</si>
  <si>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</si>
  <si>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</si>
  <si>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</si>
  <si>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</si>
  <si>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</si>
  <si>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</si>
  <si>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</si>
  <si>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</si>
  <si>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</si>
  <si>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</si>
  <si>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</si>
  <si>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</si>
  <si>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</si>
  <si>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</si>
  <si>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</si>
  <si>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</si>
  <si>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</si>
  <si>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</si>
  <si>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</si>
  <si>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</si>
  <si>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</si>
  <si>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</si>
  <si>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</si>
  <si>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</si>
  <si>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</si>
  <si>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</si>
  <si>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</si>
  <si>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</si>
  <si>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</si>
  <si>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</si>
  <si>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</si>
  <si>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</si>
  <si>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</si>
  <si>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</si>
  <si>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</si>
  <si>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</si>
  <si>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</si>
  <si>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</si>
  <si>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</si>
  <si>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</si>
  <si>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</si>
  <si>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</si>
  <si>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</si>
  <si>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</si>
  <si>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</si>
  <si>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</si>
  <si>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</si>
  <si>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</si>
  <si>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</si>
  <si>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</si>
  <si>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</si>
  <si>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</si>
  <si>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</si>
  <si>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</si>
  <si>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</si>
  <si>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</si>
  <si>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</si>
  <si>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</si>
  <si>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</si>
  <si>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</si>
  <si>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</si>
  <si>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</si>
  <si>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</si>
  <si>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</si>
  <si>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</si>
  <si>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</si>
  <si>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</si>
  <si>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</si>
  <si>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</si>
  <si>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</si>
  <si>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</si>
  <si>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</si>
  <si>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</si>
  <si>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</si>
  <si>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</si>
  <si>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</si>
  <si>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</si>
  <si>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</si>
  <si>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</si>
  <si>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</si>
  <si>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</si>
  <si>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</si>
  <si>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</si>
  <si>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</si>
  <si>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</si>
  <si>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</si>
  <si>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</si>
  <si>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</si>
  <si>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</si>
  <si>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</si>
  <si>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</si>
  <si>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</si>
  <si>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</si>
  <si>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</si>
  <si>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</si>
  <si>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</si>
  <si>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</si>
  <si>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</si>
  <si>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</si>
  <si>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</si>
  <si>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</si>
  <si>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</si>
  <si>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</si>
  <si>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</si>
  <si>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</si>
  <si>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</si>
  <si>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</si>
  <si>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</si>
  <si>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</si>
  <si>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</si>
  <si>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</si>
  <si>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</si>
  <si>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</si>
  <si>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</si>
  <si>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</si>
  <si>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</si>
  <si>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</si>
  <si>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</si>
  <si>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</si>
  <si>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</si>
  <si>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</si>
  <si>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</si>
  <si>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</si>
  <si>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</si>
  <si>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</si>
  <si>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</si>
  <si>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</si>
  <si>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</si>
  <si>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</si>
  <si>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</si>
  <si>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</si>
  <si>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</si>
  <si>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</si>
  <si>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</si>
  <si>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</si>
  <si>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</si>
  <si>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</si>
  <si>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</si>
  <si>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</si>
  <si>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</si>
  <si>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</si>
  <si>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</si>
  <si>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</si>
  <si>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</si>
  <si>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</si>
  <si>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</si>
  <si>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</si>
  <si>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</si>
  <si>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</si>
  <si>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</si>
  <si>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</si>
  <si>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</si>
  <si>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</si>
  <si>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</si>
  <si>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</si>
  <si>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</si>
  <si>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</si>
  <si>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</si>
  <si>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</si>
  <si>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</si>
  <si>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</si>
  <si>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</si>
  <si>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</si>
  <si>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</si>
  <si>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</si>
  <si>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</si>
  <si>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</si>
  <si>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</si>
  <si>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</si>
  <si>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</si>
  <si>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</si>
  <si>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</si>
  <si>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</si>
  <si>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</si>
  <si>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</si>
  <si>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</si>
  <si>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</si>
  <si>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</si>
  <si>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</si>
  <si>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</si>
  <si>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</si>
  <si>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</si>
  <si>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</si>
  <si>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</si>
  <si>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</si>
  <si>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</si>
  <si>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</si>
  <si>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</si>
  <si>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</si>
  <si>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</si>
  <si>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</si>
  <si>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</si>
  <si>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</si>
  <si>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</si>
  <si>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</si>
  <si>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</si>
  <si>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</si>
  <si>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</si>
  <si>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</si>
  <si>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</si>
  <si>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</si>
  <si>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</si>
  <si>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</si>
  <si>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</si>
  <si>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</si>
  <si>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</si>
  <si>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</si>
  <si>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</si>
  <si>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</si>
  <si>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</si>
  <si>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</si>
  <si>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</si>
  <si>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</si>
  <si>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</si>
  <si>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</si>
  <si>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</si>
  <si>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</si>
  <si>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</si>
  <si>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</si>
  <si>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</si>
  <si>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</si>
  <si>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</si>
  <si>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</si>
  <si>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</si>
  <si>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</si>
  <si>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</si>
  <si>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</si>
  <si>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</si>
  <si>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</si>
  <si>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</si>
  <si>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</si>
  <si>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</si>
  <si>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</si>
  <si>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</si>
  <si>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</si>
  <si>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</si>
  <si>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</si>
  <si>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</si>
  <si>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</si>
  <si>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</si>
  <si>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</si>
  <si>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</si>
  <si>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</si>
  <si>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</si>
  <si>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</si>
  <si>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</si>
  <si>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</si>
  <si>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</si>
  <si>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</si>
  <si>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</si>
  <si>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</si>
  <si>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</si>
  <si>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</si>
  <si>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</si>
  <si>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</si>
  <si>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</si>
  <si>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</si>
  <si>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</si>
  <si>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</si>
  <si>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</si>
  <si>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</si>
  <si>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</si>
  <si>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</si>
  <si>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</si>
  <si>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</si>
  <si>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</si>
  <si>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</si>
  <si>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</si>
  <si>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</si>
  <si>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</si>
  <si>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</si>
  <si>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</si>
  <si>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</si>
  <si>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</si>
  <si>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</si>
  <si>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</si>
  <si>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</si>
  <si>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</si>
  <si>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</si>
  <si>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</si>
  <si>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</si>
  <si>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</si>
  <si>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</si>
  <si>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</si>
  <si>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</si>
  <si>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</si>
  <si>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</si>
  <si>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</si>
  <si>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</si>
  <si>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</si>
  <si>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</si>
  <si>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</si>
  <si>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</si>
  <si>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</si>
  <si>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</si>
  <si>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</si>
  <si>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</si>
  <si>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</si>
  <si>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</si>
  <si>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</si>
  <si>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</si>
  <si>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</si>
  <si>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</si>
  <si>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</si>
  <si>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</si>
  <si>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</si>
  <si>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</si>
  <si>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</si>
  <si>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</si>
  <si>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</si>
  <si>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</si>
  <si>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</si>
  <si>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</si>
  <si>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</si>
  <si>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</si>
  <si>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</si>
  <si>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</si>
  <si>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</si>
  <si>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</si>
  <si>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</si>
  <si>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</si>
  <si>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</si>
  <si>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</si>
  <si>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</si>
  <si>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</si>
  <si>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</si>
  <si>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</si>
  <si>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</si>
  <si>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</si>
  <si>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</si>
  <si>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</si>
  <si>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</si>
  <si>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</si>
  <si>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</si>
  <si>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</si>
  <si>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</si>
  <si>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</si>
  <si>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</si>
  <si>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</si>
  <si>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</si>
  <si>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</si>
  <si>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</si>
  <si>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</si>
  <si>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</si>
  <si>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</si>
  <si>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</si>
  <si>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</si>
  <si>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</si>
  <si>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</si>
  <si>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</si>
  <si>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</si>
  <si>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</si>
  <si>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FY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</si>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</sst>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3" zoomScaleNormal="100" workbookViewId="0">
      <selection activeCell="C37" sqref="C37:D3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402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403</v>
      </c>
      <c r="D4" s="339"/>
      <c r="E4" s="6"/>
      <c r="G4" s="5" t="s">
        <v>5</v>
      </c>
      <c r="I4" s="221">
        <v>2.59</v>
      </c>
      <c r="J4" s="222" t="s">
        <v>6</v>
      </c>
      <c r="K4" s="92"/>
    </row>
    <row r="5" spans="1:12" ht="15.75" customHeight="1">
      <c r="B5" s="5" t="s">
        <v>7</v>
      </c>
      <c r="C5" s="340">
        <v>44771</v>
      </c>
      <c r="D5" s="339"/>
      <c r="E5" s="79" t="str">
        <f ca="1">IF(C5+30&gt;=TODAY(),"Patience Premium","")</f>
        <v/>
      </c>
      <c r="G5" s="5" t="s">
        <v>8</v>
      </c>
      <c r="I5" s="349">
        <v>1826710016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4731.17894144</v>
      </c>
      <c r="J6" s="350"/>
      <c r="K6" s="91"/>
    </row>
    <row r="7" spans="1:12" ht="15.75" customHeight="1">
      <c r="B7" s="86" t="s">
        <v>10</v>
      </c>
      <c r="C7" s="218">
        <f>(Data!C42*Exchange_Rate)/I4</f>
        <v>3.1203850420222418E-2</v>
      </c>
      <c r="D7" s="218">
        <f>(Data!C43*Exchange_Rate)/I4</f>
        <v>1.2311096392873278E-2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414</v>
      </c>
      <c r="D10" s="122">
        <v>3.8149999999999996E-2</v>
      </c>
      <c r="E10" s="5"/>
      <c r="G10" s="85" t="s">
        <v>331</v>
      </c>
      <c r="H10" s="84"/>
      <c r="I10" s="165">
        <f>I4/(Data!C29*I12*Data!C4/Common_Shares)</f>
        <v>1.0527301842753289</v>
      </c>
      <c r="J10" s="223">
        <f>I4/(Data!C7*Data!C4/Common_Shares*Exchange_Rate)</f>
        <v>8.0938082252973675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2.0549303978314706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2.59</v>
      </c>
      <c r="C16" s="373">
        <v>0.2</v>
      </c>
      <c r="D16" s="238">
        <f ca="1">I37/B16-(1+C16)</f>
        <v>-0.14017097499282838</v>
      </c>
      <c r="E16" s="354" t="s">
        <v>21</v>
      </c>
      <c r="F16" s="351">
        <f>(Val_Models!G16)*Exchange_Rate</f>
        <v>1.7329200378129421</v>
      </c>
      <c r="G16" s="354" t="s">
        <v>22</v>
      </c>
      <c r="H16" s="239">
        <f>B16-$F$16</f>
        <v>0.85707996218705773</v>
      </c>
      <c r="I16" s="367">
        <v>3.4000000000000002E-2</v>
      </c>
      <c r="J16" s="166">
        <f>I16/B16</f>
        <v>1.312741312741313E-2</v>
      </c>
    </row>
    <row r="17" spans="1:10" ht="15.75" customHeight="1">
      <c r="B17" s="116">
        <f ca="1">MIN((I37+I38)/2,I37/(1+C16), IF(J20=0,E14,I37/(1+C16)))</f>
        <v>2.1944507465168752</v>
      </c>
      <c r="C17" s="374"/>
      <c r="D17" s="149">
        <f ca="1">I37/B17-(1+C16)</f>
        <v>5.0862968387641372E-2</v>
      </c>
      <c r="E17" s="355"/>
      <c r="F17" s="352"/>
      <c r="G17" s="355"/>
      <c r="H17" s="236">
        <f ca="1">B17-$F$16</f>
        <v>0.46153070870393309</v>
      </c>
      <c r="I17" s="368"/>
      <c r="J17" s="149">
        <f ca="1">I16/B17</f>
        <v>1.5493626391007516E-2</v>
      </c>
    </row>
    <row r="18" spans="1:10" ht="15.75" customHeight="1">
      <c r="B18" s="129">
        <f>C37</f>
        <v>1.89</v>
      </c>
      <c r="C18" s="375"/>
      <c r="D18" s="237">
        <f ca="1">I37/B18-(1+C16)</f>
        <v>0.25235829352834616</v>
      </c>
      <c r="E18" s="356"/>
      <c r="F18" s="353"/>
      <c r="G18" s="356"/>
      <c r="H18" s="98">
        <f>B18-$F$16</f>
        <v>0.15707996218705778</v>
      </c>
      <c r="I18" s="369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337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405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406</v>
      </c>
      <c r="D22" s="337"/>
      <c r="E22" s="337"/>
      <c r="F22" s="337"/>
      <c r="G22" s="358" t="s">
        <v>408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407</v>
      </c>
      <c r="D23" s="347"/>
      <c r="E23" s="347"/>
      <c r="F23" s="347"/>
      <c r="G23" s="346" t="s">
        <v>409</v>
      </c>
      <c r="H23" s="346"/>
      <c r="I23" s="347"/>
      <c r="J23" s="347"/>
    </row>
    <row r="24" spans="1:10" ht="52.5" customHeight="1">
      <c r="A24" s="6"/>
      <c r="B24" s="19" t="s">
        <v>292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0.17181818181818181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0.17181818181818181</v>
      </c>
      <c r="J29" s="370"/>
    </row>
    <row r="30" spans="1:10" ht="15.75" customHeight="1">
      <c r="B30" s="18" t="s">
        <v>32</v>
      </c>
      <c r="C30" s="349">
        <v>60000</v>
      </c>
      <c r="D30" s="339"/>
      <c r="E30" s="349"/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1.89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3452.4819302399997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113400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113400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1.89</v>
      </c>
      <c r="F34" s="365"/>
      <c r="G34" s="78"/>
      <c r="H34" s="78"/>
      <c r="I34" s="332">
        <f>IF(I33=0,"",I33/I30)</f>
        <v>1.89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3452.4819302399997</v>
      </c>
      <c r="F35" s="377"/>
      <c r="G35" s="230"/>
      <c r="H35" s="230"/>
      <c r="I35" s="331">
        <f>IF(I34="","",I34*$I$5/1000000)</f>
        <v>3452.4819302399997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1.89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2.7449571747685741</v>
      </c>
      <c r="J37" s="325"/>
    </row>
    <row r="38" spans="2:11" ht="15.75" customHeight="1">
      <c r="B38" s="87" t="s">
        <v>281</v>
      </c>
      <c r="C38" s="326">
        <f>E34</f>
        <v>1.89</v>
      </c>
      <c r="D38" s="327"/>
      <c r="E38" s="6"/>
      <c r="F38" s="6"/>
      <c r="G38" s="323" t="s">
        <v>280</v>
      </c>
      <c r="H38" s="323"/>
      <c r="I38" s="324">
        <f ca="1">Val_Models!C47</f>
        <v>1.6439443182651765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336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0.45235829352834611</v>
      </c>
      <c r="F47" s="171">
        <f ca="1">I37/C38-1</f>
        <v>0.45235829352834611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-0.13018819139408644</v>
      </c>
      <c r="F48" s="171">
        <f ca="1">Val_Models!C47/C38-1</f>
        <v>-0.13018819139408644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0.61030536903287702</v>
      </c>
      <c r="F50" s="171">
        <f ca="1">IF(F47&lt;=0,0,AVERAGE(F41:F44,0.5*(1+F47+F48-C16)))</f>
        <v>0.61030536903287702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3.4746491881051944</v>
      </c>
      <c r="F51" s="234">
        <f ca="1">IF(F48&gt;=0,100,F47/ABS(F48))</f>
        <v>3.4746491881051944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2.8875795135923221</v>
      </c>
      <c r="F52" s="232">
        <f ca="1">MAX(C16*2.5/F47,1)+IF(F47&lt;C16,100,0)+IF(D18&lt;0,100,0)+IF(J20=1,2/(1+F47+F48-C16),0)</f>
        <v>2.8875795135923221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0.17251532107967757</v>
      </c>
      <c r="F53" s="217">
        <f ca="1">MIN(MAX(F50-ABS((1-F50)/F51),0)/F52,H53)</f>
        <v>0.17251532107967757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395</v>
      </c>
    </row>
    <row r="65" spans="2:2" ht="15.75" customHeight="1">
      <c r="B65" s="3" t="s">
        <v>398</v>
      </c>
    </row>
    <row r="66" spans="2:2" ht="15.75" customHeight="1">
      <c r="B66" s="3" t="s">
        <v>397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376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351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400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370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343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345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360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372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378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377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342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0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257</v>
      </c>
      <c r="I6" s="184">
        <f>C28/I28</f>
        <v>8.8556808649454748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258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404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349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348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389</v>
      </c>
      <c r="G23" s="6"/>
      <c r="H23" s="6"/>
      <c r="I23" s="6"/>
    </row>
    <row r="24" spans="2:10" ht="15" customHeight="1">
      <c r="B24" s="41" t="s">
        <v>379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387</v>
      </c>
      <c r="I24" s="312">
        <f>I11+I12+I13</f>
        <v>92211</v>
      </c>
    </row>
    <row r="25" spans="2:10" ht="15" customHeight="1">
      <c r="B25" s="41" t="s">
        <v>383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390</v>
      </c>
      <c r="I25" s="184">
        <f>E28/I28</f>
        <v>8.4131911175319232</v>
      </c>
    </row>
    <row r="26" spans="2:10" ht="15" customHeight="1">
      <c r="B26" s="41" t="s">
        <v>381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260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382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264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350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4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380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388</v>
      </c>
      <c r="I44" s="312">
        <f>I30+I31+I32</f>
        <v>2056</v>
      </c>
    </row>
    <row r="45" spans="2:10" ht="15" customHeight="1">
      <c r="B45" s="41" t="s">
        <v>384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385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261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386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265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376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262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94267</v>
      </c>
      <c r="E56" s="381"/>
      <c r="F56" s="5"/>
      <c r="G56" s="5"/>
      <c r="H56" s="6" t="s">
        <v>263</v>
      </c>
      <c r="I56" s="149">
        <f>D56/I3</f>
        <v>2.1259268948346472E-2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347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466314.9414400002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411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412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410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354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353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341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401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399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344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335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391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352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355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365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356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357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358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359</v>
      </c>
      <c r="J76" s="296"/>
      <c r="K76" s="296"/>
      <c r="L76" s="296"/>
      <c r="M76" s="296"/>
    </row>
    <row r="78" spans="2:13" ht="13">
      <c r="B78" s="297" t="s">
        <v>364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362</v>
      </c>
      <c r="J80" s="295"/>
      <c r="K80" s="295"/>
      <c r="L80" s="295"/>
      <c r="M80" s="295"/>
    </row>
    <row r="81" spans="2:13">
      <c r="B81" s="292" t="s">
        <v>363</v>
      </c>
      <c r="J81" s="295"/>
      <c r="K81" s="295"/>
      <c r="L81" s="295"/>
      <c r="M81" s="295"/>
    </row>
    <row r="82" spans="2:13">
      <c r="B82" s="292" t="s">
        <v>361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366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367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368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369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371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373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374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375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2" zoomScaleNormal="100" zoomScalePageLayoutView="80" workbookViewId="0">
      <selection activeCell="D48" sqref="D4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330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275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329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 ca="1">IF(D22="",IF(G9&lt;0,G9,G9*C22/G11),D22)</f>
        <v>0.56370050345540867</v>
      </c>
      <c r="F22" s="239">
        <f ca="1">SUM(D12:F12)+E22+$G$16</f>
        <v>2.2481090247463396</v>
      </c>
      <c r="G22" s="271">
        <f ca="1">F22*Exchange_Rate</f>
        <v>2.2481090247463396</v>
      </c>
      <c r="I22" s="43"/>
    </row>
    <row r="23" spans="1:9" ht="15.75" customHeight="1">
      <c r="B23" s="132" t="s">
        <v>249</v>
      </c>
      <c r="C23" s="269">
        <v>20</v>
      </c>
      <c r="D23" s="270"/>
      <c r="E23" s="98">
        <f ca="1">IF(D23="",IF(G9&lt;0,G9,G9*C23/G11),D23)</f>
        <v>1.1274010069108173</v>
      </c>
      <c r="F23" s="98">
        <f ca="1">SUM(D12:F12)+E23+$G$16</f>
        <v>2.8118095282017483</v>
      </c>
      <c r="G23" s="272">
        <f ca="1">F23*Exchange_Rate</f>
        <v>2.8118095282017483</v>
      </c>
      <c r="I23" s="43" t="s">
        <v>396</v>
      </c>
    </row>
    <row r="24" spans="1:9" ht="15.5" customHeight="1">
      <c r="C24" s="6"/>
      <c r="D24" s="6"/>
      <c r="E24" s="391" t="s">
        <v>334</v>
      </c>
      <c r="F24" s="392"/>
      <c r="G24" s="143">
        <f ca="1">MIN(G22,G23)+ABS(G22-G23)*Qualitative_Analysis!$E$64</f>
        <v>2.5136522261955125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317</v>
      </c>
    </row>
    <row r="29" spans="1:9" ht="15.75" customHeight="1">
      <c r="B29" s="141" t="s">
        <v>299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308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309</v>
      </c>
    </row>
    <row r="31" spans="1:9" ht="15.75" customHeight="1">
      <c r="B31" s="141" t="s">
        <v>313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312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300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306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305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303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0.99818063510510235</v>
      </c>
      <c r="I38" s="43"/>
    </row>
    <row r="39" spans="1:9" ht="15.75" customHeight="1">
      <c r="B39" s="85" t="s">
        <v>311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-4.8905783046084741E-2</v>
      </c>
      <c r="I39" s="43"/>
    </row>
    <row r="40" spans="1:9" ht="15.75" customHeight="1">
      <c r="B40" s="20" t="s">
        <v>332</v>
      </c>
      <c r="C40" s="6"/>
      <c r="D40" s="6"/>
      <c r="E40" s="393" t="s">
        <v>321</v>
      </c>
      <c r="F40" s="323"/>
      <c r="G40" s="280">
        <f>Asset_Model!D7</f>
        <v>1.8488378398424457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1.537648336059253</v>
      </c>
    </row>
    <row r="42" spans="1:9" ht="15.75" customHeight="1"/>
    <row r="43" spans="1:9" ht="15.75" customHeight="1">
      <c r="A43" s="4"/>
      <c r="B43" s="254" t="s">
        <v>333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2.0549303978314706</v>
      </c>
      <c r="D44" s="262" t="str">
        <f>Dashboard!J4</f>
        <v>HKD</v>
      </c>
      <c r="E44" s="263">
        <f ca="1">(C44-G16)/C9</f>
        <v>-6.0426893275560065</v>
      </c>
      <c r="F44" s="263">
        <f ca="1">C44/(Data!C29*Exchange_Rate*Data!C4/Common_Shares)</f>
        <v>0.83524604493517352</v>
      </c>
      <c r="G44" s="263">
        <f ca="1">C44/(Data!C7*Data!C4*Exchange_Rate/Common_Shares)</f>
        <v>6.4217036897227606</v>
      </c>
      <c r="I44" s="43"/>
    </row>
    <row r="45" spans="1:9" ht="15.75" customHeight="1">
      <c r="B45" s="6" t="s">
        <v>314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413</v>
      </c>
    </row>
    <row r="46" spans="1:9" ht="15.75" customHeight="1">
      <c r="B46" s="257" t="s">
        <v>315</v>
      </c>
      <c r="C46" s="258">
        <f ca="1">MIN(C45,C44)+ABS(C45-C44)*Qualitative_Analysis!E64</f>
        <v>2.7449571747685741</v>
      </c>
      <c r="D46" s="256" t="str">
        <f>D45</f>
        <v>HKD</v>
      </c>
      <c r="E46" s="223">
        <f ca="1">(C46-G16)/C9</f>
        <v>-18.991395202999843</v>
      </c>
      <c r="F46" s="223">
        <f ca="1">C46/(Asset_Model!I3*Exchange_Rate*Data!C4/Common_Shares)</f>
        <v>1.130820891587317</v>
      </c>
      <c r="G46" s="223">
        <f ca="1">C46/(Data!C7*Data!C4*Exchange_Rate/Common_Shares)</f>
        <v>8.5780528800119349</v>
      </c>
    </row>
    <row r="47" spans="1:9" ht="15.75" customHeight="1">
      <c r="B47" s="84" t="s">
        <v>280</v>
      </c>
      <c r="C47" s="259">
        <f ca="1">MAX(G41,C44)/(1+Dashboard!I14)</f>
        <v>1.6439443182651765</v>
      </c>
      <c r="D47" s="260" t="str">
        <f>D45</f>
        <v>HKD</v>
      </c>
      <c r="E47" s="224">
        <f ca="1">(C47-G16)/C9</f>
        <v>1.669674947389777</v>
      </c>
      <c r="F47" s="224">
        <f ca="1">C47/(Asset_Model!I3*Exchange_Rate*Data!C4/Common_Shares)</f>
        <v>0.67724429247507756</v>
      </c>
      <c r="G47" s="224">
        <f ca="1">C47/(Data!C7*Data!C4*Exchange_Rate/Common_Shares)</f>
        <v>5.1373629517782087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338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339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346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340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328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2023-09-07T09:10:11Z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