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9B98C6AB-486F-4C29-B104-9811FD8199D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25" i="3" l="1"/>
  <c r="D24" i="3"/>
  <c r="D45" i="3"/>
  <c r="D44" i="3"/>
  <c r="D50" i="3"/>
  <c r="D59" i="3"/>
  <c r="D58" i="3"/>
  <c r="I4" i="3"/>
  <c r="D4" i="3"/>
  <c r="D6" i="1"/>
  <c r="E9" i="3"/>
  <c r="E16" i="7"/>
  <c r="E17" i="7"/>
  <c r="E14" i="7" l="1"/>
  <c r="E13" i="7"/>
  <c r="E11" i="7"/>
  <c r="F9" i="7"/>
  <c r="G11" i="7"/>
  <c r="E5" i="7"/>
  <c r="E4" i="7"/>
  <c r="E7" i="7"/>
  <c r="E8" i="7"/>
  <c r="E10" i="7"/>
  <c r="C9" i="7"/>
  <c r="C6" i="7"/>
  <c r="C3" i="4"/>
  <c r="C3" i="7"/>
  <c r="C32" i="4"/>
  <c r="F10" i="7" l="1"/>
  <c r="F6" i="7"/>
  <c r="E6" i="7"/>
  <c r="E9" i="7"/>
  <c r="C11" i="7"/>
  <c r="D6" i="7" s="1"/>
  <c r="D9" i="7"/>
  <c r="G37" i="4"/>
  <c r="C17" i="4"/>
  <c r="B3" i="4"/>
  <c r="C19" i="4" s="1"/>
  <c r="H20" i="7"/>
  <c r="F4" i="4" s="1"/>
  <c r="F16" i="4" s="1"/>
  <c r="G20" i="7"/>
  <c r="E4" i="4" s="1"/>
  <c r="E10" i="4" s="1"/>
  <c r="G19" i="7"/>
  <c r="G18" i="7"/>
  <c r="G17" i="7"/>
  <c r="G15" i="7"/>
  <c r="G13" i="7"/>
  <c r="C13" i="7"/>
  <c r="H3" i="7"/>
  <c r="G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E43" i="2"/>
  <c r="F43" i="2"/>
  <c r="G43" i="2"/>
  <c r="H43" i="2"/>
  <c r="I43" i="2"/>
  <c r="J43" i="2"/>
  <c r="K43" i="2"/>
  <c r="L43" i="2"/>
  <c r="M43" i="2"/>
  <c r="D43" i="2"/>
  <c r="D42" i="2"/>
  <c r="D28" i="4"/>
  <c r="D29" i="4" s="1"/>
  <c r="D30" i="4" s="1"/>
  <c r="D36" i="4"/>
  <c r="D37" i="4" s="1"/>
  <c r="C58" i="3" l="1"/>
  <c r="D10" i="7"/>
  <c r="E5" i="4"/>
  <c r="F5" i="4"/>
  <c r="C14" i="7"/>
  <c r="E15" i="7" s="1"/>
  <c r="C16" i="7"/>
  <c r="E3" i="4"/>
  <c r="F3" i="4"/>
  <c r="F15" i="4"/>
  <c r="E11" i="4"/>
  <c r="E15" i="4"/>
  <c r="E6" i="4"/>
  <c r="F10" i="4"/>
  <c r="F6" i="4"/>
  <c r="F11" i="4"/>
  <c r="E7" i="4"/>
  <c r="E16" i="4"/>
  <c r="F7" i="4"/>
  <c r="B3" i="7"/>
  <c r="C15" i="7"/>
  <c r="C20" i="7" s="1"/>
  <c r="E12" i="7"/>
  <c r="C28" i="4"/>
  <c r="D6" i="4"/>
  <c r="I28" i="3"/>
  <c r="I32" i="3" l="1"/>
  <c r="E20" i="7"/>
  <c r="D4" i="4" s="1"/>
  <c r="C18" i="7"/>
  <c r="C4" i="4"/>
  <c r="C29" i="4"/>
  <c r="D53" i="3"/>
  <c r="D52" i="3" s="1"/>
  <c r="C22" i="4" s="1"/>
  <c r="D22" i="4" s="1"/>
  <c r="B27" i="4"/>
  <c r="B26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C7" i="1" l="1"/>
  <c r="E19" i="7"/>
  <c r="D5" i="4" s="1"/>
  <c r="E18" i="7"/>
  <c r="C44" i="3"/>
  <c r="C25" i="3"/>
  <c r="C30" i="4" l="1"/>
  <c r="C45" i="3"/>
  <c r="E12" i="3"/>
  <c r="D69" i="5" l="1"/>
  <c r="E35" i="3" l="1"/>
  <c r="D16" i="5"/>
  <c r="D18" i="5"/>
  <c r="D19" i="5"/>
  <c r="D17" i="5"/>
  <c r="D20" i="5" l="1"/>
  <c r="E20" i="5" s="1"/>
  <c r="E21" i="5" s="1"/>
  <c r="C14" i="2"/>
  <c r="D27" i="2"/>
  <c r="E27" i="2"/>
  <c r="F27" i="2"/>
  <c r="G27" i="2"/>
  <c r="H27" i="2"/>
  <c r="I27" i="2"/>
  <c r="J27" i="2"/>
  <c r="K27" i="2"/>
  <c r="L27" i="2"/>
  <c r="M27" i="2"/>
  <c r="E11" i="3"/>
  <c r="E59" i="3" s="1"/>
  <c r="M6" i="2"/>
  <c r="L6" i="2"/>
  <c r="K6" i="2"/>
  <c r="J6" i="2"/>
  <c r="I6" i="2"/>
  <c r="H6" i="2"/>
  <c r="G6" i="2"/>
  <c r="F6" i="2"/>
  <c r="E6" i="2"/>
  <c r="D6" i="2"/>
  <c r="C6" i="2"/>
  <c r="C42" i="2"/>
  <c r="B16" i="1"/>
  <c r="D44" i="5"/>
  <c r="D45" i="5"/>
  <c r="D46" i="5"/>
  <c r="D47" i="5"/>
  <c r="D48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C8" i="2"/>
  <c r="C10" i="2"/>
  <c r="M15" i="2"/>
  <c r="D10" i="5"/>
  <c r="D5" i="5"/>
  <c r="D6" i="5"/>
  <c r="D4" i="5"/>
  <c r="C20" i="4" l="1"/>
  <c r="D20" i="4" s="1"/>
  <c r="F23" i="4" s="1"/>
  <c r="C27" i="2"/>
  <c r="C34" i="2"/>
  <c r="C32" i="2"/>
  <c r="D34" i="2"/>
  <c r="D32" i="2"/>
  <c r="E34" i="2"/>
  <c r="E32" i="2"/>
  <c r="F34" i="2"/>
  <c r="F35" i="2" s="1"/>
  <c r="F32" i="2"/>
  <c r="C13" i="2"/>
  <c r="C12" i="2" s="1"/>
  <c r="C16" i="2"/>
  <c r="C45" i="2" s="1"/>
  <c r="E93" i="5"/>
  <c r="B93" i="5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D77" i="5"/>
  <c r="D76" i="5"/>
  <c r="D71" i="5" s="1"/>
  <c r="D75" i="5"/>
  <c r="D74" i="5"/>
  <c r="D73" i="5"/>
  <c r="D72" i="5"/>
  <c r="D68" i="5"/>
  <c r="D67" i="5"/>
  <c r="D66" i="5"/>
  <c r="D65" i="5"/>
  <c r="D63" i="5"/>
  <c r="D62" i="5"/>
  <c r="D61" i="5"/>
  <c r="D60" i="5"/>
  <c r="D59" i="5"/>
  <c r="D58" i="5"/>
  <c r="D56" i="5"/>
  <c r="D55" i="5"/>
  <c r="D54" i="5"/>
  <c r="D53" i="5"/>
  <c r="D52" i="5"/>
  <c r="D51" i="5"/>
  <c r="D49" i="5"/>
  <c r="D43" i="5" s="1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5" i="2"/>
  <c r="D54" i="2"/>
  <c r="E54" i="2" s="1"/>
  <c r="M17" i="2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C2" i="1"/>
  <c r="E58" i="3" l="1"/>
  <c r="C35" i="2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5" i="4"/>
  <c r="D57" i="5"/>
  <c r="E24" i="3"/>
  <c r="E44" i="3" s="1"/>
  <c r="E71" i="5"/>
  <c r="D21" i="5"/>
  <c r="C46" i="3"/>
  <c r="E3" i="3" s="1"/>
  <c r="D70" i="5" a="1"/>
  <c r="D70" i="5" s="1"/>
  <c r="E43" i="5"/>
  <c r="F16" i="2"/>
  <c r="F45" i="2" s="1"/>
  <c r="K15" i="2"/>
  <c r="L16" i="2"/>
  <c r="L45" i="2" s="1"/>
  <c r="L15" i="2"/>
  <c r="M16" i="2"/>
  <c r="M45" i="2" s="1"/>
  <c r="C72" i="2"/>
  <c r="C17" i="2"/>
  <c r="I9" i="1"/>
  <c r="F15" i="2"/>
  <c r="G15" i="2"/>
  <c r="C69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3" i="2"/>
  <c r="J13" i="2"/>
  <c r="D14" i="2"/>
  <c r="H13" i="2"/>
  <c r="H12" i="2" s="1"/>
  <c r="L13" i="2"/>
  <c r="L12" i="2" s="1"/>
  <c r="F10" i="2"/>
  <c r="J10" i="2"/>
  <c r="J12" i="2" s="1"/>
  <c r="D55" i="2"/>
  <c r="E55" i="2" s="1"/>
  <c r="F55" i="2"/>
  <c r="B54" i="2"/>
  <c r="E14" i="2"/>
  <c r="I14" i="2"/>
  <c r="F4" i="2"/>
  <c r="K13" i="2"/>
  <c r="K12" i="2" s="1"/>
  <c r="B56" i="2"/>
  <c r="E57" i="5"/>
  <c r="C71" i="2"/>
  <c r="E26" i="3"/>
  <c r="D50" i="5"/>
  <c r="I16" i="2" l="1"/>
  <c r="I45" i="2" s="1"/>
  <c r="I44" i="2"/>
  <c r="E16" i="2"/>
  <c r="E44" i="2"/>
  <c r="D16" i="2"/>
  <c r="D44" i="2"/>
  <c r="C21" i="4"/>
  <c r="D21" i="4" s="1"/>
  <c r="E25" i="3"/>
  <c r="E45" i="3" s="1"/>
  <c r="I24" i="3"/>
  <c r="D64" i="5"/>
  <c r="E64" i="5" s="1"/>
  <c r="J9" i="1"/>
  <c r="H15" i="2"/>
  <c r="I15" i="2"/>
  <c r="D15" i="2"/>
  <c r="E15" i="2"/>
  <c r="C15" i="2"/>
  <c r="F12" i="2"/>
  <c r="H17" i="2"/>
  <c r="F17" i="2"/>
  <c r="D56" i="2"/>
  <c r="E56" i="2" s="1"/>
  <c r="B57" i="2"/>
  <c r="F56" i="2"/>
  <c r="E13" i="2"/>
  <c r="E12" i="2" s="1"/>
  <c r="E46" i="3"/>
  <c r="D26" i="3"/>
  <c r="D7" i="4"/>
  <c r="E50" i="5"/>
  <c r="K17" i="2"/>
  <c r="C70" i="2"/>
  <c r="D13" i="2"/>
  <c r="D12" i="2" s="1"/>
  <c r="J17" i="2"/>
  <c r="G17" i="2"/>
  <c r="I13" i="2"/>
  <c r="I12" i="2" s="1"/>
  <c r="L17" i="2"/>
  <c r="E45" i="2" l="1"/>
  <c r="E35" i="2"/>
  <c r="D45" i="2"/>
  <c r="D35" i="2"/>
  <c r="I25" i="3"/>
  <c r="D78" i="5"/>
  <c r="E78" i="5" s="1"/>
  <c r="I45" i="3"/>
  <c r="J24" i="3"/>
  <c r="I44" i="3"/>
  <c r="E31" i="5" s="1"/>
  <c r="D57" i="2"/>
  <c r="E57" i="2" s="1"/>
  <c r="B58" i="2"/>
  <c r="F57" i="2"/>
  <c r="E17" i="2"/>
  <c r="D72" i="2"/>
  <c r="I17" i="2"/>
  <c r="D17" i="2"/>
  <c r="D46" i="3"/>
  <c r="C74" i="2" l="1"/>
  <c r="I10" i="1"/>
  <c r="E50" i="3" s="1"/>
  <c r="F12" i="4"/>
  <c r="F14" i="4" s="1"/>
  <c r="J44" i="3"/>
  <c r="D31" i="5"/>
  <c r="D58" i="2"/>
  <c r="E58" i="2" s="1"/>
  <c r="F58" i="2"/>
  <c r="B59" i="2"/>
  <c r="C23" i="4" l="1"/>
  <c r="D60" i="3"/>
  <c r="F17" i="4"/>
  <c r="D59" i="2"/>
  <c r="E59" i="2" s="1"/>
  <c r="F59" i="2"/>
  <c r="B60" i="2"/>
  <c r="D23" i="4" l="1"/>
  <c r="G23" i="4" s="1"/>
  <c r="G20" i="4"/>
  <c r="D49" i="3"/>
  <c r="D6" i="3"/>
  <c r="D7" i="3" s="1"/>
  <c r="D60" i="2"/>
  <c r="E60" i="2" s="1"/>
  <c r="B61" i="2"/>
  <c r="F60" i="2"/>
  <c r="G21" i="4" l="1"/>
  <c r="H16" i="1" s="1"/>
  <c r="E6" i="3"/>
  <c r="D61" i="2"/>
  <c r="E61" i="2" s="1"/>
  <c r="B62" i="2"/>
  <c r="F61" i="2"/>
  <c r="I7" i="3"/>
  <c r="I6" i="3"/>
  <c r="E22" i="4" l="1"/>
  <c r="J17" i="1"/>
  <c r="J16" i="1"/>
  <c r="D62" i="2"/>
  <c r="E62" i="2" s="1"/>
  <c r="B63" i="2"/>
  <c r="F62" i="2"/>
  <c r="D63" i="2" l="1"/>
  <c r="E63" i="2" s="1"/>
  <c r="F63" i="2"/>
  <c r="B64" i="2"/>
  <c r="D64" i="2" l="1"/>
  <c r="E64" i="2" s="1"/>
  <c r="E65" i="2" s="1"/>
  <c r="F64" i="2"/>
  <c r="F66" i="2" s="1"/>
  <c r="D73" i="2" l="1"/>
  <c r="D69" i="2"/>
  <c r="D71" i="2"/>
  <c r="D74" i="2"/>
  <c r="D70" i="2" l="1"/>
  <c r="C7" i="4" l="1"/>
  <c r="D9" i="4" s="1"/>
  <c r="J10" i="1"/>
  <c r="C8" i="4" l="1"/>
  <c r="C11" i="4"/>
  <c r="C12" i="4" s="1"/>
  <c r="C13" i="4" s="1"/>
  <c r="D8" i="4" l="1"/>
  <c r="D10" i="4" s="1"/>
  <c r="D11" i="4" s="1"/>
  <c r="E12" i="4"/>
  <c r="E14" i="4" s="1"/>
  <c r="G11" i="4" l="1"/>
  <c r="D12" i="4"/>
  <c r="D13" i="4" s="1"/>
  <c r="E16" i="1"/>
  <c r="F17" i="1"/>
  <c r="F16" i="1"/>
  <c r="E17" i="4"/>
  <c r="G12" i="4" l="1"/>
  <c r="G14" i="4" s="1"/>
  <c r="D7" i="5"/>
  <c r="E7" i="5" l="1"/>
  <c r="E11" i="5"/>
  <c r="D11" i="5" l="1"/>
  <c r="E25" i="5"/>
  <c r="D25" i="5" s="1"/>
  <c r="E80" i="5" s="1"/>
  <c r="D80" i="5" l="1"/>
  <c r="E12" i="5" s="1"/>
  <c r="D12" i="5" s="1"/>
  <c r="D13" i="5" s="1"/>
  <c r="E13" i="5" s="1"/>
  <c r="D11" i="1" s="1"/>
  <c r="D12" i="1" s="1"/>
  <c r="G15" i="4" l="1"/>
  <c r="C16" i="1"/>
  <c r="D15" i="4" l="1"/>
  <c r="D16" i="4" s="1"/>
  <c r="D17" i="4" s="1"/>
  <c r="F28" i="4" s="1"/>
  <c r="G16" i="4" l="1"/>
  <c r="G17" i="4" s="1"/>
  <c r="C37" i="4"/>
  <c r="G30" i="4"/>
  <c r="G29" i="4"/>
  <c r="E33" i="4" s="1"/>
  <c r="G28" i="4"/>
  <c r="C33" i="4" l="1"/>
  <c r="D33" i="4" s="1"/>
  <c r="F14" i="1"/>
  <c r="E27" i="4"/>
  <c r="E37" i="4"/>
  <c r="F37" i="4"/>
  <c r="C36" i="4" l="1"/>
  <c r="H14" i="1" s="1"/>
  <c r="D18" i="1" s="1"/>
  <c r="D14" i="1"/>
  <c r="J18" i="1"/>
  <c r="F18" i="1"/>
  <c r="F36" i="4" l="1"/>
  <c r="E36" i="4"/>
  <c r="D16" i="1"/>
  <c r="D17" i="1"/>
</calcChain>
</file>

<file path=xl/sharedStrings.xml><?xml version="1.0" encoding="utf-8"?>
<sst xmlns="http://schemas.openxmlformats.org/spreadsheetml/2006/main" count="425" uniqueCount="357">
  <si>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</si>
  <si>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</si>
  <si>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</si>
  <si>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</si>
  <si>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</si>
  <si>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</si>
  <si>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</si>
  <si>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</si>
  <si>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</si>
  <si>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</si>
  <si>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</si>
  <si>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</si>
  <si>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</si>
  <si>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</si>
  <si>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</si>
  <si>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</si>
  <si>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</si>
  <si>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</si>
  <si>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</si>
  <si>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</si>
  <si>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</si>
  <si>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</si>
  <si>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</si>
  <si>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</si>
  <si>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</si>
  <si>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</si>
  <si>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</si>
  <si>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</si>
  <si>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</si>
  <si>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</si>
  <si>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</si>
  <si>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</si>
  <si>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</si>
  <si>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</si>
  <si>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</si>
  <si>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</si>
  <si>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</si>
  <si>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</si>
  <si>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</si>
  <si>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</si>
  <si>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</si>
  <si>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</si>
  <si>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</si>
  <si>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</si>
  <si>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</si>
  <si>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</si>
  <si>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</si>
  <si>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</si>
  <si>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</si>
  <si>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</si>
  <si>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</si>
  <si>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</si>
  <si>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</si>
  <si>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</si>
  <si>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</si>
  <si>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</si>
  <si>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</si>
  <si>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</si>
  <si>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</si>
  <si>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</si>
  <si>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</si>
  <si>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</si>
  <si>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</si>
  <si>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</si>
  <si>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</si>
  <si>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</si>
  <si>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</si>
  <si>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</si>
  <si>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</si>
  <si>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</si>
  <si>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</si>
  <si>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</si>
  <si>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</si>
  <si>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</si>
  <si>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</si>
  <si>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</si>
  <si>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</si>
  <si>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</si>
  <si>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</si>
  <si>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</si>
  <si>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</si>
  <si>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</si>
  <si>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</si>
  <si>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</si>
  <si>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</si>
  <si>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</si>
  <si>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</si>
  <si>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</si>
  <si>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</si>
  <si>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</si>
  <si>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</si>
  <si>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</si>
  <si>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</si>
  <si>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</si>
  <si>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</si>
  <si>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</si>
  <si>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</si>
  <si>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</si>
  <si>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</si>
  <si>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</si>
  <si>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</si>
  <si>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</si>
  <si>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</si>
  <si>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</si>
  <si>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</si>
  <si>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</si>
  <si>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</si>
  <si>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</si>
  <si>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</si>
  <si>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</si>
  <si>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</si>
  <si>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</si>
  <si>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</si>
  <si>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</si>
  <si>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</si>
  <si>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</si>
  <si>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</si>
  <si>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</si>
  <si>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</si>
  <si>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</si>
  <si>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</si>
  <si>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</si>
  <si>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</si>
  <si>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</si>
  <si>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</si>
  <si>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</si>
  <si>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</si>
  <si>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</si>
  <si>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</si>
  <si>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</si>
  <si>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</si>
  <si>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</si>
  <si>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</si>
  <si>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</si>
  <si>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</si>
  <si>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</si>
  <si>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</si>
  <si>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</si>
  <si>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</si>
  <si>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</si>
  <si>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</si>
  <si>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</si>
  <si>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</si>
  <si>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</si>
  <si>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</si>
  <si>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</si>
  <si>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</si>
  <si>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</si>
  <si>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</si>
  <si>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</si>
  <si>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</si>
  <si>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</si>
  <si>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</si>
  <si>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</si>
  <si>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</si>
  <si>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</si>
  <si>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</si>
  <si>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</si>
  <si>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</si>
  <si>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</si>
  <si>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</si>
  <si>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</si>
  <si>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</si>
  <si>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</si>
  <si>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</si>
  <si>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</si>
  <si>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</si>
  <si>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</si>
  <si>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</si>
  <si>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</si>
  <si>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</si>
  <si>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</si>
  <si>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</si>
  <si>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</si>
  <si>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</si>
  <si>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</si>
  <si>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</si>
  <si>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</si>
  <si>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</si>
  <si>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</si>
  <si>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</si>
  <si>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</si>
  <si>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</si>
  <si>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</si>
  <si>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</si>
  <si>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</si>
  <si>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</si>
  <si>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</si>
  <si>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</si>
  <si>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PART I: Complexity of the business</t>
  </si>
  <si>
    <t>1. Does the company have a non-cyclical business and a consistent earnings history?</t>
  </si>
  <si>
    <t>unclear</t>
  </si>
  <si>
    <t>2. Does the company have simple revenue and expense structure to understand?</t>
  </si>
  <si>
    <t>agree</t>
  </si>
  <si>
    <t>3. Does the company have simple assets base to value?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</si>
  <si>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</si>
  <si>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</si>
  <si>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 xml:space="preserve">Reputation: </t>
    </r>
    <r>
      <rPr>
        <sz val="11"/>
        <color rgb="FF000000"/>
        <rFont val="Times New Roman"/>
        <family val="1"/>
      </rPr>
      <t>Does the company and management have good reputation?</t>
    </r>
  </si>
  <si>
    <r>
      <t xml:space="preserve">2. </t>
    </r>
    <r>
      <rPr>
        <b/>
        <sz val="11"/>
        <color rgb="FF000000"/>
        <rFont val="Times New Roman"/>
        <family val="1"/>
      </rPr>
      <t>Complexity:</t>
    </r>
    <r>
      <rPr>
        <sz val="11"/>
        <color rgb="FF000000"/>
        <rFont val="Times New Roman"/>
        <family val="1"/>
      </rPr>
      <t xml:space="preserve"> Does the company have a consistent operating and earning and dividend history?</t>
    </r>
  </si>
  <si>
    <r>
      <t xml:space="preserve">3. </t>
    </r>
    <r>
      <rPr>
        <b/>
        <sz val="11"/>
        <color rgb="FF000000"/>
        <rFont val="Times New Roman"/>
        <family val="1"/>
      </rPr>
      <t>Business Quality:</t>
    </r>
    <r>
      <rPr>
        <sz val="11"/>
        <color rgb="FF000000"/>
        <rFont val="Times New Roman"/>
        <family val="1"/>
      </rPr>
      <t xml:space="preserve"> Does the company have a potent and a consistent earnings history?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</si>
  <si>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</si>
  <si>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</si>
  <si>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</si>
  <si>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</si>
  <si>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r>
      <t xml:space="preserve">1. </t>
    </r>
    <r>
      <rPr>
        <b/>
        <sz val="11"/>
        <color rgb="FF000000"/>
        <rFont val="Times New Roman"/>
        <family val="1"/>
      </rPr>
      <t>Cashflow from operation</t>
    </r>
  </si>
  <si>
    <t>(-) Low/Decreasing CFO</t>
  </si>
  <si>
    <r>
      <t xml:space="preserve">2. </t>
    </r>
    <r>
      <rPr>
        <b/>
        <sz val="11"/>
        <color rgb="FF000000"/>
        <rFont val="Times New Roman"/>
        <family val="1"/>
      </rPr>
      <t>Cashflow from investment</t>
    </r>
  </si>
  <si>
    <t>(-) Low/Decreasing CFI</t>
  </si>
  <si>
    <r>
      <t xml:space="preserve">3. </t>
    </r>
    <r>
      <rPr>
        <b/>
        <sz val="11"/>
        <color rgb="FF000000"/>
        <rFont val="Times New Roman"/>
        <family val="1"/>
      </rPr>
      <t>Cashflow from financing</t>
    </r>
  </si>
  <si>
    <t>(+) Rapidly Increasing CFF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</si>
  <si>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</si>
  <si>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</si>
  <si>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</si>
  <si>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</si>
  <si>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</si>
  <si>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</si>
  <si>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</si>
  <si>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</si>
  <si>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</si>
  <si>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</si>
  <si>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</si>
  <si>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</si>
  <si>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</si>
  <si>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</si>
  <si>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</si>
  <si>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</si>
  <si>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</si>
  <si>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</si>
  <si>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</si>
  <si>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</si>
  <si>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</si>
  <si>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</si>
  <si>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</si>
  <si>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</si>
  <si>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</si>
  <si>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</si>
  <si>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and equal access to distribution channels.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</si>
  <si>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</si>
  <si>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</si>
  <si>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</si>
  <si>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</si>
  <si>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</si>
  <si>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</si>
  <si>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</si>
  <si>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</si>
  <si>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</si>
  <si>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</si>
  <si>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</si>
  <si>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</si>
  <si>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</si>
  <si>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</si>
  <si>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</si>
  <si>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</si>
  <si>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</si>
  <si>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</si>
  <si>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</si>
  <si>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</si>
  <si>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</si>
  <si>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There is no restrictive government policy</t>
  </si>
  <si>
    <t>6.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</si>
  <si>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</si>
  <si>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</si>
  <si>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</si>
  <si>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</si>
  <si>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</si>
  <si>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</si>
  <si>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</si>
  <si>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</si>
  <si>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</si>
  <si>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</si>
  <si>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</si>
  <si>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</si>
  <si>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</si>
  <si>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</si>
  <si>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</si>
  <si>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</si>
  <si>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</si>
  <si>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</si>
  <si>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</si>
  <si>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</si>
  <si>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</si>
  <si>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</si>
  <si>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</si>
  <si>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1. Does the company have a consistent operating and earning history?</t>
  </si>
  <si>
    <t>6. There is little "real" brand barriers. (better than industry or like the food industry)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</si>
  <si>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</si>
  <si>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</si>
  <si>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</si>
  <si>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</si>
  <si>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</si>
  <si>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</si>
  <si>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</si>
  <si>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</si>
  <si>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</si>
  <si>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Investor's Cash Inflow</t>
  </si>
  <si>
    <t>PV of Investor Cash Inflow</t>
  </si>
  <si>
    <t>Net Non-op. Asset Analysis</t>
  </si>
  <si>
    <t>Output:</t>
  </si>
  <si>
    <t>- Total outstanding debt</t>
  </si>
  <si>
    <t>Exit Year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</si>
  <si>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</si>
  <si>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</si>
  <si>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</si>
  <si>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</si>
  <si>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</si>
  <si>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</si>
  <si>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</si>
  <si>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</si>
  <si>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ERP</t>
  </si>
  <si>
    <t>Equity Value without MOS =</t>
  </si>
  <si>
    <t>Equity Value with MOS =</t>
  </si>
  <si>
    <t>to</t>
  </si>
  <si>
    <t>Ending Cash Position</t>
  </si>
  <si>
    <t xml:space="preserve">2. Total Debt + PS + Options = 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</si>
  <si>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</si>
  <si>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</si>
  <si>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</si>
  <si>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</si>
  <si>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</si>
  <si>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</si>
  <si>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</si>
  <si>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</si>
  <si>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</si>
  <si>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</si>
  <si>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</si>
  <si>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</si>
  <si>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</si>
  <si>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EBIT Growth rate</t>
  </si>
  <si>
    <t>Operating Income Projections</t>
  </si>
  <si>
    <t>MOS</t>
  </si>
  <si>
    <t>低估值的香港龙头房地产开发商</t>
  </si>
  <si>
    <t>ROIC</t>
  </si>
  <si>
    <t>%</t>
  </si>
  <si>
    <t>Adj. Rf + ERP = Discount Rate</t>
  </si>
  <si>
    <t>Cheap given Risk</t>
  </si>
  <si>
    <t>Reasonable given Risk</t>
  </si>
  <si>
    <t>Reasonable Market Price</t>
  </si>
  <si>
    <t>0683.HK</t>
  </si>
  <si>
    <t>KERRY PPT</t>
  </si>
  <si>
    <t>https://pages.stern.nyu.edu/~adamodar/New_Home_Page/datafile/wcdata.html</t>
  </si>
  <si>
    <t>內地</t>
  </si>
  <si>
    <t>香港</t>
  </si>
  <si>
    <t>1. 物業租務及其他</t>
  </si>
  <si>
    <t>2. 物業銷售</t>
  </si>
  <si>
    <t>3. 內地酒店營運</t>
  </si>
  <si>
    <t>1. 物业销售曾是最大收入来源，现在在低谷
2. Property value is likely to exceed inflation in the long run especially after a debt crisis and the future monetary easing</t>
  </si>
  <si>
    <t>1. Balance sheet is strong despite a cash liquidity need
2. Market price is low compared to the realizable assets</t>
  </si>
  <si>
    <t>1. The room for profitable reinvestment is small
2. Organic growth rate will be low due to uncertainty</t>
  </si>
  <si>
    <t>1. There is a lack of Cash in the balance sheet
2. 2/3 of the business is in Mainland China, with high volatility in RE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</si>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</sst>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[$-409]mmm\-yy;@"/>
    <numFmt numFmtId="184" formatCode="&quot;in&quot;\ 0\ &quot;Months&quot;"/>
    <numFmt numFmtId="185" formatCode="&quot;Price_Target_1 = &quot;0.00"/>
    <numFmt numFmtId="186" formatCode="&quot;Price_Target_2 = &quot;0.00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</fills>
  <borders count="10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indexed="64"/>
      </right>
      <top/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 style="thin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8" fillId="6" borderId="5" xfId="0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10" fontId="4" fillId="10" borderId="13" xfId="0" applyNumberFormat="1" applyFont="1" applyFill="1" applyBorder="1" applyAlignment="1">
      <alignment horizontal="center"/>
    </xf>
    <xf numFmtId="3" fontId="2" fillId="10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4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21" fillId="0" borderId="9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177" fontId="1" fillId="14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2" borderId="9" xfId="0" applyNumberFormat="1" applyFont="1" applyFill="1" applyBorder="1" applyAlignment="1">
      <alignment horizontal="center"/>
    </xf>
    <xf numFmtId="3" fontId="1" fillId="14" borderId="9" xfId="0" applyNumberFormat="1" applyFont="1" applyFill="1" applyBorder="1" applyAlignment="1">
      <alignment horizontal="center"/>
    </xf>
    <xf numFmtId="10" fontId="1" fillId="14" borderId="9" xfId="0" applyNumberFormat="1" applyFont="1" applyFill="1" applyBorder="1" applyAlignment="1">
      <alignment horizontal="center"/>
    </xf>
    <xf numFmtId="0" fontId="1" fillId="15" borderId="9" xfId="0" applyFont="1" applyFill="1" applyBorder="1"/>
    <xf numFmtId="0" fontId="1" fillId="15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2" fillId="11" borderId="15" xfId="0" applyNumberFormat="1" applyFont="1" applyFill="1" applyBorder="1" applyAlignment="1">
      <alignment horizontal="center"/>
    </xf>
    <xf numFmtId="10" fontId="5" fillId="16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10" borderId="53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7" borderId="54" xfId="0" applyNumberFormat="1" applyFont="1" applyFill="1" applyBorder="1" applyAlignment="1">
      <alignment horizontal="center"/>
    </xf>
    <xf numFmtId="10" fontId="1" fillId="17" borderId="58" xfId="0" applyNumberFormat="1" applyFont="1" applyFill="1" applyBorder="1" applyAlignment="1">
      <alignment horizontal="center"/>
    </xf>
    <xf numFmtId="10" fontId="1" fillId="17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0" fontId="22" fillId="0" borderId="9" xfId="0" applyFont="1" applyBorder="1"/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6" borderId="42" xfId="0" applyNumberFormat="1" applyFont="1" applyFill="1" applyBorder="1" applyAlignment="1">
      <alignment horizontal="center"/>
    </xf>
    <xf numFmtId="4" fontId="7" fillId="16" borderId="64" xfId="0" applyNumberFormat="1" applyFont="1" applyFill="1" applyBorder="1" applyAlignment="1">
      <alignment horizontal="center"/>
    </xf>
    <xf numFmtId="4" fontId="7" fillId="16" borderId="44" xfId="0" applyNumberFormat="1" applyFont="1" applyFill="1" applyBorder="1" applyAlignment="1">
      <alignment horizontal="center"/>
    </xf>
    <xf numFmtId="4" fontId="7" fillId="16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8" borderId="13" xfId="0" applyNumberFormat="1" applyFont="1" applyFill="1" applyBorder="1" applyAlignment="1">
      <alignment horizontal="right"/>
    </xf>
    <xf numFmtId="3" fontId="2" fillId="18" borderId="13" xfId="0" applyNumberFormat="1" applyFont="1" applyFill="1" applyBorder="1" applyAlignment="1">
      <alignment horizontal="center"/>
    </xf>
    <xf numFmtId="3" fontId="1" fillId="20" borderId="17" xfId="0" applyNumberFormat="1" applyFont="1" applyFill="1" applyBorder="1" applyAlignment="1">
      <alignment horizontal="center"/>
    </xf>
    <xf numFmtId="3" fontId="1" fillId="20" borderId="13" xfId="0" applyNumberFormat="1" applyFont="1" applyFill="1" applyBorder="1" applyAlignment="1">
      <alignment horizontal="center"/>
    </xf>
    <xf numFmtId="172" fontId="2" fillId="21" borderId="9" xfId="0" applyNumberFormat="1" applyFont="1" applyFill="1" applyBorder="1" applyAlignment="1">
      <alignment horizontal="left"/>
    </xf>
    <xf numFmtId="3" fontId="5" fillId="19" borderId="13" xfId="0" applyNumberFormat="1" applyFont="1" applyFill="1" applyBorder="1" applyAlignment="1">
      <alignment horizontal="center"/>
    </xf>
    <xf numFmtId="3" fontId="1" fillId="19" borderId="20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3" fontId="5" fillId="19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2" fillId="2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6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10" fontId="2" fillId="11" borderId="70" xfId="0" applyNumberFormat="1" applyFont="1" applyFill="1" applyBorder="1" applyAlignment="1">
      <alignment horizontal="center"/>
    </xf>
    <xf numFmtId="3" fontId="1" fillId="4" borderId="71" xfId="0" applyNumberFormat="1" applyFont="1" applyFill="1" applyBorder="1" applyAlignment="1">
      <alignment horizontal="center"/>
    </xf>
    <xf numFmtId="3" fontId="1" fillId="4" borderId="73" xfId="0" applyNumberFormat="1" applyFont="1" applyFill="1" applyBorder="1" applyAlignment="1">
      <alignment horizontal="center"/>
    </xf>
    <xf numFmtId="174" fontId="5" fillId="0" borderId="42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74" fontId="5" fillId="0" borderId="44" xfId="0" applyNumberFormat="1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4" fontId="7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0" fontId="2" fillId="10" borderId="16" xfId="0" applyNumberFormat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81" fontId="2" fillId="10" borderId="59" xfId="0" applyNumberFormat="1" applyFont="1" applyFill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10" fontId="1" fillId="0" borderId="80" xfId="0" applyNumberFormat="1" applyFont="1" applyBorder="1" applyAlignment="1">
      <alignment horizontal="center"/>
    </xf>
    <xf numFmtId="166" fontId="1" fillId="0" borderId="80" xfId="0" applyNumberFormat="1" applyFont="1" applyBorder="1" applyAlignment="1">
      <alignment horizontal="center"/>
    </xf>
    <xf numFmtId="4" fontId="1" fillId="0" borderId="81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2" fillId="0" borderId="17" xfId="0" applyNumberFormat="1" applyFont="1" applyBorder="1" applyAlignment="1">
      <alignment horizontal="center"/>
    </xf>
    <xf numFmtId="38" fontId="2" fillId="10" borderId="16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8" borderId="13" xfId="0" applyNumberFormat="1" applyFont="1" applyFill="1" applyBorder="1" applyAlignment="1">
      <alignment horizontal="center"/>
    </xf>
    <xf numFmtId="38" fontId="2" fillId="18" borderId="20" xfId="0" applyNumberFormat="1" applyFont="1" applyFill="1" applyBorder="1" applyAlignment="1">
      <alignment horizontal="center"/>
    </xf>
    <xf numFmtId="177" fontId="2" fillId="18" borderId="20" xfId="0" applyNumberFormat="1" applyFont="1" applyFill="1" applyBorder="1" applyAlignment="1">
      <alignment horizontal="center"/>
    </xf>
    <xf numFmtId="3" fontId="2" fillId="18" borderId="20" xfId="0" applyNumberFormat="1" applyFont="1" applyFill="1" applyBorder="1" applyAlignment="1">
      <alignment horizontal="center"/>
    </xf>
    <xf numFmtId="38" fontId="2" fillId="19" borderId="13" xfId="0" applyNumberFormat="1" applyFont="1" applyFill="1" applyBorder="1" applyAlignment="1">
      <alignment horizontal="center"/>
    </xf>
    <xf numFmtId="177" fontId="2" fillId="24" borderId="13" xfId="0" applyNumberFormat="1" applyFont="1" applyFill="1" applyBorder="1" applyAlignment="1">
      <alignment horizontal="center"/>
    </xf>
    <xf numFmtId="3" fontId="1" fillId="16" borderId="68" xfId="0" applyNumberFormat="1" applyFont="1" applyFill="1" applyBorder="1" applyAlignment="1">
      <alignment horizontal="center"/>
    </xf>
    <xf numFmtId="3" fontId="1" fillId="16" borderId="74" xfId="0" applyNumberFormat="1" applyFont="1" applyFill="1" applyBorder="1" applyAlignment="1">
      <alignment horizontal="center"/>
    </xf>
    <xf numFmtId="4" fontId="1" fillId="0" borderId="82" xfId="0" applyNumberFormat="1" applyFont="1" applyBorder="1" applyAlignment="1">
      <alignment horizontal="center"/>
    </xf>
    <xf numFmtId="4" fontId="1" fillId="4" borderId="82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10" fontId="2" fillId="18" borderId="43" xfId="0" applyNumberFormat="1" applyFont="1" applyFill="1" applyBorder="1" applyAlignment="1">
      <alignment horizontal="center"/>
    </xf>
    <xf numFmtId="3" fontId="1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1" fillId="16" borderId="65" xfId="0" applyNumberFormat="1" applyFont="1" applyFill="1" applyBorder="1" applyAlignment="1">
      <alignment horizontal="center"/>
    </xf>
    <xf numFmtId="10" fontId="1" fillId="0" borderId="85" xfId="0" applyNumberFormat="1" applyFont="1" applyBorder="1" applyAlignment="1">
      <alignment horizontal="center"/>
    </xf>
    <xf numFmtId="10" fontId="1" fillId="0" borderId="86" xfId="0" applyNumberFormat="1" applyFont="1" applyBorder="1" applyAlignment="1">
      <alignment horizontal="center"/>
    </xf>
    <xf numFmtId="4" fontId="1" fillId="0" borderId="87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1" fillId="19" borderId="44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3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2" fillId="18" borderId="71" xfId="0" applyNumberFormat="1" applyFont="1" applyFill="1" applyBorder="1" applyAlignment="1">
      <alignment horizontal="center"/>
    </xf>
    <xf numFmtId="3" fontId="2" fillId="18" borderId="68" xfId="0" applyNumberFormat="1" applyFont="1" applyFill="1" applyBorder="1" applyAlignment="1">
      <alignment horizontal="center"/>
    </xf>
    <xf numFmtId="3" fontId="2" fillId="22" borderId="74" xfId="0" applyNumberFormat="1" applyFont="1" applyFill="1" applyBorder="1" applyAlignment="1">
      <alignment horizontal="center"/>
    </xf>
    <xf numFmtId="10" fontId="7" fillId="0" borderId="20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0" fontId="18" fillId="6" borderId="88" xfId="0" applyFont="1" applyFill="1" applyBorder="1" applyAlignment="1">
      <alignment horizontal="center"/>
    </xf>
    <xf numFmtId="3" fontId="2" fillId="11" borderId="80" xfId="0" applyNumberFormat="1" applyFont="1" applyFill="1" applyBorder="1" applyAlignment="1">
      <alignment horizontal="center"/>
    </xf>
    <xf numFmtId="3" fontId="1" fillId="0" borderId="80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85" xfId="0" applyNumberFormat="1" applyFont="1" applyFill="1" applyBorder="1" applyAlignment="1">
      <alignment horizontal="center"/>
    </xf>
    <xf numFmtId="3" fontId="11" fillId="11" borderId="80" xfId="0" applyNumberFormat="1" applyFont="1" applyFill="1" applyBorder="1" applyAlignment="1">
      <alignment horizontal="right"/>
    </xf>
    <xf numFmtId="0" fontId="19" fillId="0" borderId="90" xfId="0" applyFont="1" applyBorder="1" applyAlignment="1">
      <alignment horizontal="center" wrapText="1"/>
    </xf>
    <xf numFmtId="3" fontId="1" fillId="16" borderId="13" xfId="0" applyNumberFormat="1" applyFont="1" applyFill="1" applyBorder="1" applyAlignment="1">
      <alignment horizontal="center"/>
    </xf>
    <xf numFmtId="3" fontId="1" fillId="16" borderId="80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91" xfId="0" applyNumberFormat="1" applyFont="1" applyBorder="1" applyAlignment="1">
      <alignment horizontal="center"/>
    </xf>
    <xf numFmtId="4" fontId="1" fillId="0" borderId="92" xfId="0" applyNumberFormat="1" applyFont="1" applyBorder="1" applyAlignment="1">
      <alignment horizontal="center"/>
    </xf>
    <xf numFmtId="4" fontId="3" fillId="4" borderId="93" xfId="0" applyNumberFormat="1" applyFont="1" applyFill="1" applyBorder="1" applyAlignment="1">
      <alignment horizontal="right"/>
    </xf>
    <xf numFmtId="4" fontId="3" fillId="0" borderId="94" xfId="0" applyNumberFormat="1" applyFont="1" applyBorder="1" applyAlignment="1">
      <alignment horizontal="right"/>
    </xf>
    <xf numFmtId="0" fontId="5" fillId="0" borderId="95" xfId="0" applyFont="1" applyBorder="1"/>
    <xf numFmtId="0" fontId="5" fillId="0" borderId="96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10" fontId="2" fillId="18" borderId="16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10" fontId="7" fillId="16" borderId="16" xfId="0" applyNumberFormat="1" applyFont="1" applyFill="1" applyBorder="1" applyAlignment="1">
      <alignment horizontal="center"/>
    </xf>
    <xf numFmtId="10" fontId="7" fillId="16" borderId="44" xfId="0" applyNumberFormat="1" applyFont="1" applyFill="1" applyBorder="1" applyAlignment="1">
      <alignment horizontal="center"/>
    </xf>
    <xf numFmtId="10" fontId="2" fillId="10" borderId="44" xfId="0" applyNumberFormat="1" applyFont="1" applyFill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29" fillId="0" borderId="9" xfId="2" applyBorder="1"/>
    <xf numFmtId="183" fontId="15" fillId="9" borderId="2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7" fontId="2" fillId="18" borderId="16" xfId="0" applyNumberFormat="1" applyFont="1" applyFill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4" fontId="2" fillId="10" borderId="47" xfId="0" applyNumberFormat="1" applyFont="1" applyFill="1" applyBorder="1" applyAlignment="1">
      <alignment horizontal="center"/>
    </xf>
    <xf numFmtId="164" fontId="7" fillId="0" borderId="98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8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185" fontId="4" fillId="10" borderId="9" xfId="0" applyNumberFormat="1" applyFont="1" applyFill="1" applyBorder="1" applyAlignment="1">
      <alignment horizontal="center"/>
    </xf>
    <xf numFmtId="186" fontId="4" fillId="10" borderId="11" xfId="0" applyNumberFormat="1" applyFont="1" applyFill="1" applyBorder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5" borderId="9" xfId="0" applyFont="1" applyFill="1" applyBorder="1"/>
    <xf numFmtId="0" fontId="7" fillId="15" borderId="9" xfId="0" applyFont="1" applyFill="1" applyBorder="1"/>
    <xf numFmtId="0" fontId="1" fillId="15" borderId="2" xfId="0" applyFont="1" applyFill="1" applyBorder="1"/>
    <xf numFmtId="0" fontId="7" fillId="15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1" borderId="13" xfId="0" applyNumberFormat="1" applyFont="1" applyFill="1" applyBorder="1" applyAlignment="1">
      <alignment horizontal="center"/>
    </xf>
    <xf numFmtId="0" fontId="7" fillId="10" borderId="13" xfId="0" applyFont="1" applyFill="1" applyBorder="1"/>
    <xf numFmtId="8" fontId="4" fillId="11" borderId="13" xfId="0" applyNumberFormat="1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10" fontId="5" fillId="0" borderId="76" xfId="0" applyNumberFormat="1" applyFont="1" applyBorder="1" applyAlignment="1">
      <alignment horizontal="center" vertical="center"/>
    </xf>
    <xf numFmtId="10" fontId="5" fillId="0" borderId="77" xfId="0" applyNumberFormat="1" applyFont="1" applyBorder="1" applyAlignment="1">
      <alignment horizontal="center" vertical="center"/>
    </xf>
    <xf numFmtId="10" fontId="5" fillId="0" borderId="78" xfId="0" applyNumberFormat="1" applyFont="1" applyBorder="1" applyAlignment="1">
      <alignment horizontal="center" vertic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5" borderId="13" xfId="0" applyFont="1" applyFill="1" applyBorder="1"/>
    <xf numFmtId="0" fontId="1" fillId="15" borderId="20" xfId="0" applyFont="1" applyFill="1" applyBorder="1"/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5" fillId="10" borderId="99" xfId="0" applyFont="1" applyFill="1" applyBorder="1" applyAlignment="1">
      <alignment horizontal="center"/>
    </xf>
    <xf numFmtId="0" fontId="5" fillId="10" borderId="10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0" fontId="13" fillId="11" borderId="14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79" fontId="2" fillId="11" borderId="26" xfId="0" applyNumberFormat="1" applyFont="1" applyFill="1" applyBorder="1" applyAlignment="1">
      <alignment horizontal="center"/>
    </xf>
    <xf numFmtId="179" fontId="2" fillId="11" borderId="33" xfId="0" applyNumberFormat="1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7" fillId="0" borderId="13" xfId="0" applyFont="1" applyBorder="1"/>
    <xf numFmtId="0" fontId="5" fillId="0" borderId="9" xfId="0" applyFont="1" applyBorder="1"/>
    <xf numFmtId="0" fontId="3" fillId="0" borderId="9" xfId="0" applyFont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6" xfId="0" applyNumberFormat="1" applyFont="1" applyBorder="1" applyAlignment="1">
      <alignment horizontal="center" vertical="center"/>
    </xf>
    <xf numFmtId="4" fontId="5" fillId="0" borderId="77" xfId="0" applyNumberFormat="1" applyFont="1" applyBorder="1" applyAlignment="1">
      <alignment horizontal="center" vertical="center"/>
    </xf>
    <xf numFmtId="4" fontId="5" fillId="0" borderId="78" xfId="0" applyNumberFormat="1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C23" sqref="C23:F23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410" t="str">
        <f>C3&amp;" : "&amp;C4</f>
        <v>0683.HK : KERRY PPT</v>
      </c>
      <c r="D2" s="411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12" t="s">
        <v>337</v>
      </c>
      <c r="D3" s="413"/>
      <c r="E3" s="15"/>
      <c r="G3" s="7" t="s">
        <v>2</v>
      </c>
      <c r="I3" s="420" t="s">
        <v>3</v>
      </c>
      <c r="J3" s="421"/>
    </row>
    <row r="4" spans="1:12" ht="15.75" customHeight="1" x14ac:dyDescent="0.3">
      <c r="B4" s="5" t="s">
        <v>4</v>
      </c>
      <c r="C4" s="414" t="s">
        <v>338</v>
      </c>
      <c r="D4" s="415"/>
      <c r="E4" s="6"/>
      <c r="G4" s="5" t="s">
        <v>5</v>
      </c>
      <c r="I4" s="34">
        <v>19.84</v>
      </c>
      <c r="J4" s="35" t="s">
        <v>6</v>
      </c>
      <c r="K4" s="193"/>
    </row>
    <row r="5" spans="1:12" ht="15.75" customHeight="1" x14ac:dyDescent="0.3">
      <c r="B5" s="5" t="s">
        <v>7</v>
      </c>
      <c r="C5" s="416">
        <v>44956</v>
      </c>
      <c r="D5" s="415"/>
      <c r="E5" s="158" t="str">
        <f ca="1">IF(C5+30&gt;=TODAY(),"Patience Premium","")</f>
        <v>Patience Premium</v>
      </c>
      <c r="G5" s="5" t="s">
        <v>8</v>
      </c>
      <c r="I5" s="399">
        <v>1451309952</v>
      </c>
      <c r="J5" s="400"/>
      <c r="K5" s="192"/>
      <c r="L5" s="113"/>
    </row>
    <row r="6" spans="1:12" ht="15.75" customHeight="1" x14ac:dyDescent="0.3">
      <c r="B6" s="12" t="s">
        <v>352</v>
      </c>
      <c r="C6" s="355">
        <v>8</v>
      </c>
      <c r="D6" s="356">
        <f>EOMONTH(EDATE(Asset_Model!D9,C6),0)</f>
        <v>44985</v>
      </c>
      <c r="E6" s="158"/>
      <c r="G6" s="171" t="s">
        <v>9</v>
      </c>
      <c r="H6" s="170"/>
      <c r="I6" s="422">
        <f>I4*I5/1000000</f>
        <v>28793.98944768</v>
      </c>
      <c r="J6" s="423"/>
      <c r="K6" s="192"/>
    </row>
    <row r="7" spans="1:12" ht="15.75" customHeight="1" x14ac:dyDescent="0.3">
      <c r="B7" s="176" t="s">
        <v>10</v>
      </c>
      <c r="C7" s="182">
        <f>(Data!C39)/I4</f>
        <v>0.18462985164524817</v>
      </c>
      <c r="D7" s="182">
        <f>(Data!C40)/I4</f>
        <v>1.4029316803564641E-3</v>
      </c>
      <c r="E7" s="194"/>
      <c r="F7" s="6"/>
    </row>
    <row r="8" spans="1:12" ht="15.75" customHeight="1" x14ac:dyDescent="0.3">
      <c r="C8" s="128"/>
      <c r="E8" s="6"/>
      <c r="G8" s="22" t="s">
        <v>11</v>
      </c>
      <c r="H8" s="169"/>
      <c r="I8" s="6"/>
      <c r="J8" s="6"/>
    </row>
    <row r="9" spans="1:12" ht="15.75" customHeight="1" x14ac:dyDescent="0.3">
      <c r="B9" s="22" t="s">
        <v>12</v>
      </c>
      <c r="D9" s="12"/>
      <c r="E9" s="5"/>
      <c r="G9" s="5" t="s">
        <v>13</v>
      </c>
      <c r="I9" s="157">
        <f>IF(Data!F3&lt;=0,"NNI",I4/((Data!F3*I12)/(I5/Data!C4)))</f>
        <v>2.7798763148330314</v>
      </c>
      <c r="J9" s="52">
        <f>IF(I9="NNI","NNI",1/I9)</f>
        <v>0.35972823490892014</v>
      </c>
    </row>
    <row r="10" spans="1:12" ht="15.75" customHeight="1" x14ac:dyDescent="0.3">
      <c r="B10" s="19" t="s">
        <v>14</v>
      </c>
      <c r="C10" s="184" t="s">
        <v>15</v>
      </c>
      <c r="D10" s="161">
        <v>2.9100000000000001E-2</v>
      </c>
      <c r="E10" s="5"/>
      <c r="G10" s="5" t="s">
        <v>16</v>
      </c>
      <c r="I10" s="175">
        <f>I4/(Data!C28*I12*Data!C4/Common_Shares)</f>
        <v>0.22477777209221111</v>
      </c>
      <c r="J10" s="167">
        <f>IF(Asset_Model!D60/'FCFF Model'!C4&lt;0,"Negative EV",Asset_Model!D60/'FCFF Model'!C4)</f>
        <v>0.32261389064499346</v>
      </c>
    </row>
    <row r="11" spans="1:12" ht="15.75" customHeight="1" x14ac:dyDescent="0.3">
      <c r="B11" s="19" t="s">
        <v>308</v>
      </c>
      <c r="C11" s="257">
        <v>0.1</v>
      </c>
      <c r="D11" s="344">
        <f ca="1">$C$11*(2-'Qualitative Analysis'!$E$13+IF($C$5+30&gt;=TODAY(),0.2,0))</f>
        <v>0.16444444444444445</v>
      </c>
      <c r="E11" s="13"/>
      <c r="G11" s="5" t="s">
        <v>17</v>
      </c>
      <c r="H11" s="6"/>
      <c r="I11" s="430" t="s">
        <v>6</v>
      </c>
      <c r="J11" s="431"/>
    </row>
    <row r="12" spans="1:12" ht="15.75" customHeight="1" x14ac:dyDescent="0.3">
      <c r="B12" s="103" t="s">
        <v>333</v>
      </c>
      <c r="C12" s="346">
        <v>2.9100000000000001E-2</v>
      </c>
      <c r="D12" s="345">
        <f ca="1">D11+C12</f>
        <v>0.19354444444444446</v>
      </c>
      <c r="G12" s="171" t="s">
        <v>18</v>
      </c>
      <c r="H12" s="170"/>
      <c r="I12" s="172">
        <v>1</v>
      </c>
      <c r="J12" s="173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1" t="s">
        <v>19</v>
      </c>
      <c r="C14" s="164" t="s">
        <v>290</v>
      </c>
      <c r="D14" s="227">
        <f ca="1">'FCFF Model'!C33</f>
        <v>15.507841815017519</v>
      </c>
      <c r="E14" s="164" t="s">
        <v>311</v>
      </c>
      <c r="F14" s="227">
        <f ca="1">'FCFF Model'!E33</f>
        <v>13.58411216773554</v>
      </c>
      <c r="G14" s="228" t="s">
        <v>26</v>
      </c>
      <c r="H14" s="239">
        <f ca="1">IF('FCFF Model'!C36&lt;0, "Error", 'FCFF Model'!C36)</f>
        <v>14.56222618170788</v>
      </c>
      <c r="I14" s="170"/>
      <c r="J14" s="170"/>
    </row>
    <row r="15" spans="1:12" ht="15.75" customHeight="1" x14ac:dyDescent="0.3">
      <c r="A15" s="6"/>
      <c r="B15" s="128"/>
      <c r="C15" s="306" t="s">
        <v>329</v>
      </c>
      <c r="D15" s="120" t="s">
        <v>21</v>
      </c>
      <c r="E15" s="120" t="s">
        <v>22</v>
      </c>
      <c r="F15" s="120" t="s">
        <v>23</v>
      </c>
      <c r="G15" s="176"/>
      <c r="H15" s="85" t="s">
        <v>25</v>
      </c>
      <c r="J15" s="165" t="s">
        <v>24</v>
      </c>
    </row>
    <row r="16" spans="1:12" ht="15.75" customHeight="1" x14ac:dyDescent="0.3">
      <c r="B16" s="168">
        <f>I4</f>
        <v>19.84</v>
      </c>
      <c r="C16" s="387">
        <f ca="1">D11/2</f>
        <v>8.2222222222222224E-2</v>
      </c>
      <c r="D16" s="200">
        <f ca="1">H14/B16-1-C16</f>
        <v>-0.34823904774097825</v>
      </c>
      <c r="E16" s="405">
        <f>'FCFF Model'!D14</f>
        <v>0.95</v>
      </c>
      <c r="F16" s="203">
        <f>E16/B16</f>
        <v>4.7883064516129031E-2</v>
      </c>
      <c r="G16" s="427" t="s">
        <v>27</v>
      </c>
      <c r="H16" s="424">
        <f>('FCFF Model'!G21)*Exchange_Rate</f>
        <v>7.8443999555788881</v>
      </c>
      <c r="I16" s="427" t="s">
        <v>28</v>
      </c>
      <c r="J16" s="260">
        <f>B16-$H$16</f>
        <v>11.995600044421112</v>
      </c>
    </row>
    <row r="17" spans="1:10" ht="15.75" customHeight="1" x14ac:dyDescent="0.3">
      <c r="B17" s="361">
        <v>18.5</v>
      </c>
      <c r="C17" s="388"/>
      <c r="D17" s="201">
        <f ca="1">H14/B17-1-C16</f>
        <v>-0.2950748610488233</v>
      </c>
      <c r="E17" s="406"/>
      <c r="F17" s="204">
        <f>E16/B17</f>
        <v>5.1351351351351347E-2</v>
      </c>
      <c r="G17" s="428"/>
      <c r="H17" s="425"/>
      <c r="I17" s="428"/>
      <c r="J17" s="259">
        <f>B17-$H$16</f>
        <v>10.655600044421112</v>
      </c>
    </row>
    <row r="18" spans="1:10" ht="15.75" customHeight="1" x14ac:dyDescent="0.3">
      <c r="B18" s="362">
        <v>18</v>
      </c>
      <c r="C18" s="389"/>
      <c r="D18" s="202">
        <f ca="1">H14/B18-1-C16</f>
        <v>-0.27320965657178442</v>
      </c>
      <c r="E18" s="407"/>
      <c r="F18" s="205">
        <f>E16/B18</f>
        <v>5.2777777777777778E-2</v>
      </c>
      <c r="G18" s="429"/>
      <c r="H18" s="426"/>
      <c r="I18" s="429"/>
      <c r="J18" s="261">
        <f>B18-$H$16</f>
        <v>10.155600044421112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1" t="s">
        <v>29</v>
      </c>
      <c r="C20" s="8" t="s">
        <v>350</v>
      </c>
      <c r="D20" s="408"/>
      <c r="E20" s="409"/>
      <c r="F20" s="12"/>
      <c r="G20" s="12"/>
      <c r="H20" s="12"/>
      <c r="I20" s="12"/>
      <c r="J20" s="12"/>
    </row>
    <row r="21" spans="1:10" ht="15.75" customHeight="1" x14ac:dyDescent="0.3">
      <c r="A21" s="6"/>
      <c r="B21" s="25" t="s">
        <v>30</v>
      </c>
      <c r="C21" s="417" t="s">
        <v>330</v>
      </c>
      <c r="D21" s="418"/>
      <c r="E21" s="418"/>
      <c r="F21" s="418"/>
      <c r="G21" s="418"/>
      <c r="H21" s="418"/>
      <c r="I21" s="418"/>
      <c r="J21" s="419"/>
    </row>
    <row r="22" spans="1:10" ht="52.5" customHeight="1" x14ac:dyDescent="0.3">
      <c r="A22" s="6"/>
      <c r="B22" s="25" t="s">
        <v>31</v>
      </c>
      <c r="C22" s="382" t="s">
        <v>346</v>
      </c>
      <c r="D22" s="379"/>
      <c r="E22" s="379"/>
      <c r="F22" s="379"/>
      <c r="G22" s="382" t="s">
        <v>348</v>
      </c>
      <c r="H22" s="382"/>
      <c r="I22" s="379"/>
      <c r="J22" s="379"/>
    </row>
    <row r="23" spans="1:10" ht="52.5" customHeight="1" x14ac:dyDescent="0.3">
      <c r="A23" s="6"/>
      <c r="B23" s="26" t="s">
        <v>32</v>
      </c>
      <c r="C23" s="383" t="s">
        <v>345</v>
      </c>
      <c r="D23" s="384"/>
      <c r="E23" s="384"/>
      <c r="F23" s="384"/>
      <c r="G23" s="383" t="s">
        <v>347</v>
      </c>
      <c r="H23" s="383"/>
      <c r="I23" s="384"/>
      <c r="J23" s="38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1" t="s">
        <v>33</v>
      </c>
      <c r="C25" s="23" t="s">
        <v>34</v>
      </c>
      <c r="D25" s="36">
        <v>600000</v>
      </c>
      <c r="E25" s="12"/>
      <c r="F25" s="8"/>
      <c r="G25" s="12"/>
      <c r="H25" s="170"/>
      <c r="I25" s="6"/>
      <c r="J25" s="6"/>
    </row>
    <row r="26" spans="1:10" ht="15.75" customHeight="1" x14ac:dyDescent="0.3">
      <c r="B26" s="24" t="s">
        <v>35</v>
      </c>
      <c r="C26" s="385"/>
      <c r="D26" s="386"/>
      <c r="E26" s="385"/>
      <c r="F26" s="386"/>
      <c r="G26" s="432"/>
      <c r="H26" s="433"/>
      <c r="I26" s="381" t="s">
        <v>36</v>
      </c>
      <c r="J26" s="381"/>
    </row>
    <row r="27" spans="1:10" ht="15.75" customHeight="1" x14ac:dyDescent="0.3">
      <c r="B27" s="24" t="s">
        <v>37</v>
      </c>
      <c r="C27" s="404">
        <f>C31/D25</f>
        <v>0</v>
      </c>
      <c r="D27" s="377"/>
      <c r="E27" s="403">
        <f>E31/D25</f>
        <v>0</v>
      </c>
      <c r="F27" s="377"/>
      <c r="G27" s="390">
        <f>G31/D25</f>
        <v>0</v>
      </c>
      <c r="H27" s="391"/>
      <c r="I27" s="392">
        <f>C27+E27+G27</f>
        <v>0</v>
      </c>
      <c r="J27" s="392"/>
    </row>
    <row r="28" spans="1:10" ht="15.75" customHeight="1" x14ac:dyDescent="0.3">
      <c r="B28" s="24" t="s">
        <v>38</v>
      </c>
      <c r="C28" s="378"/>
      <c r="D28" s="379"/>
      <c r="E28" s="378"/>
      <c r="F28" s="379"/>
      <c r="G28" s="399"/>
      <c r="H28" s="400"/>
      <c r="I28" s="367">
        <f>C28+E28+G28</f>
        <v>0</v>
      </c>
      <c r="J28" s="367"/>
    </row>
    <row r="29" spans="1:10" ht="15.75" customHeight="1" x14ac:dyDescent="0.3">
      <c r="B29" s="24" t="s">
        <v>39</v>
      </c>
      <c r="C29" s="380"/>
      <c r="D29" s="379"/>
      <c r="E29" s="380"/>
      <c r="F29" s="379"/>
      <c r="G29" s="393"/>
      <c r="H29" s="394"/>
      <c r="I29" s="401"/>
      <c r="J29" s="401"/>
    </row>
    <row r="30" spans="1:10" ht="15.75" customHeight="1" x14ac:dyDescent="0.3">
      <c r="B30" s="24" t="s">
        <v>40</v>
      </c>
      <c r="C30" s="365">
        <f>C29*$I$5/1000000</f>
        <v>0</v>
      </c>
      <c r="D30" s="372"/>
      <c r="E30" s="365">
        <f>E29*$I$5/1000000</f>
        <v>0</v>
      </c>
      <c r="F30" s="372"/>
      <c r="G30" s="395">
        <f>G29*$I$5/1000000</f>
        <v>0</v>
      </c>
      <c r="H30" s="396"/>
      <c r="I30" s="402"/>
      <c r="J30" s="402"/>
    </row>
    <row r="31" spans="1:10" ht="15.75" customHeight="1" x14ac:dyDescent="0.3">
      <c r="B31" s="2" t="s">
        <v>41</v>
      </c>
      <c r="C31" s="373">
        <f>C28*C29</f>
        <v>0</v>
      </c>
      <c r="D31" s="374"/>
      <c r="E31" s="366">
        <f>E28*E29</f>
        <v>0</v>
      </c>
      <c r="F31" s="375"/>
      <c r="G31" s="397">
        <f>G28*G29</f>
        <v>0</v>
      </c>
      <c r="H31" s="398"/>
      <c r="I31" s="366">
        <f>C31+E31+G31</f>
        <v>0</v>
      </c>
      <c r="J31" s="366"/>
    </row>
    <row r="32" spans="1:10" ht="15.75" customHeight="1" x14ac:dyDescent="0.3">
      <c r="B32" s="1" t="s">
        <v>42</v>
      </c>
      <c r="C32" s="368"/>
      <c r="D32" s="369"/>
      <c r="E32" s="376" t="str">
        <f>IF(C31=0,"-",(C31+E31)/(C28+E28))</f>
        <v>-</v>
      </c>
      <c r="F32" s="377"/>
      <c r="G32" s="153"/>
      <c r="H32" s="153"/>
      <c r="I32" s="376" t="str">
        <f>IF(I31=0,"",I31/I28)</f>
        <v/>
      </c>
      <c r="J32" s="376"/>
    </row>
    <row r="33" spans="2:10" ht="15.75" customHeight="1" x14ac:dyDescent="0.3">
      <c r="B33" s="1" t="s">
        <v>43</v>
      </c>
      <c r="C33" s="370"/>
      <c r="D33" s="371"/>
      <c r="E33" s="365" t="str">
        <f>IF(E32="-","-",E32*$I$5/1000000)</f>
        <v>-</v>
      </c>
      <c r="F33" s="372"/>
      <c r="G33" s="154"/>
      <c r="H33" s="154"/>
      <c r="I33" s="365" t="str">
        <f>IF(I32="","",I32*$I$5/1000000)</f>
        <v/>
      </c>
      <c r="J33" s="365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</sheetData>
  <mergeCells count="49">
    <mergeCell ref="C2:D2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G16:G18"/>
    <mergeCell ref="I11:J11"/>
    <mergeCell ref="C22:F22"/>
    <mergeCell ref="G26:H26"/>
    <mergeCell ref="E27:F27"/>
    <mergeCell ref="C27:D27"/>
    <mergeCell ref="E16:E18"/>
    <mergeCell ref="C29:D29"/>
    <mergeCell ref="D20:E20"/>
    <mergeCell ref="G27:H27"/>
    <mergeCell ref="I32:J32"/>
    <mergeCell ref="I27:J27"/>
    <mergeCell ref="G29:H29"/>
    <mergeCell ref="G30:H30"/>
    <mergeCell ref="G31:H31"/>
    <mergeCell ref="G28:H28"/>
    <mergeCell ref="I29:J29"/>
    <mergeCell ref="I30:J30"/>
    <mergeCell ref="I26:J26"/>
    <mergeCell ref="G22:J22"/>
    <mergeCell ref="G23:J23"/>
    <mergeCell ref="E26:F26"/>
    <mergeCell ref="C16:C18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</mergeCells>
  <conditionalFormatting sqref="I16">
    <cfRule type="cellIs" dxfId="10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:D18">
    <cfRule type="cellIs" dxfId="9" priority="9" operator="lessThanOrEqual">
      <formula>0</formula>
    </cfRule>
  </conditionalFormatting>
  <conditionalFormatting sqref="H16">
    <cfRule type="cellIs" dxfId="8" priority="4" operator="greaterThan">
      <formula>$B$16</formula>
    </cfRule>
  </conditionalFormatting>
  <conditionalFormatting sqref="H14">
    <cfRule type="cellIs" dxfId="7" priority="1" operator="greaterThan">
      <formula>$B$16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3"/>
  <sheetViews>
    <sheetView showGridLines="0" topLeftCell="A16" zoomScaleNormal="100" workbookViewId="0">
      <selection activeCell="C31" sqref="C31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8"/>
      <c r="B1" s="39"/>
      <c r="C1" s="40"/>
      <c r="D1" s="40"/>
      <c r="E1" s="40"/>
      <c r="F1" s="40"/>
    </row>
    <row r="2" spans="1:14" ht="15.75" customHeight="1" x14ac:dyDescent="0.3">
      <c r="A2" s="41"/>
      <c r="B2" s="11" t="s">
        <v>44</v>
      </c>
      <c r="C2" s="42"/>
      <c r="D2" s="42"/>
      <c r="E2" s="42"/>
      <c r="F2" s="42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45</v>
      </c>
      <c r="C3" s="190">
        <v>44561</v>
      </c>
      <c r="D3" s="6"/>
      <c r="E3" s="222">
        <v>1</v>
      </c>
      <c r="F3" s="220">
        <f t="array" ref="F3">AVERAGE(C19:INDEX(C19:M19,1,E3))</f>
        <v>10358011</v>
      </c>
      <c r="G3" s="6"/>
      <c r="H3" s="5"/>
      <c r="I3" s="6"/>
      <c r="J3" s="217"/>
      <c r="K3" s="6"/>
      <c r="L3" s="6"/>
      <c r="M3" s="6"/>
    </row>
    <row r="4" spans="1:14" ht="15.75" customHeight="1" x14ac:dyDescent="0.3">
      <c r="A4" s="9"/>
      <c r="B4" s="5" t="s">
        <v>46</v>
      </c>
      <c r="C4" s="37">
        <v>1000</v>
      </c>
      <c r="D4" s="6"/>
      <c r="E4" s="43">
        <f>E3</f>
        <v>1</v>
      </c>
      <c r="F4" s="221">
        <f>AVERAGE(C16:INDEX(C16:M16,1,E4))</f>
        <v>5627619.4399999995</v>
      </c>
      <c r="G4" s="6"/>
      <c r="I4" s="6"/>
      <c r="J4" s="116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4"/>
      <c r="C6" s="45" t="str">
        <f>"FY "&amp;YEAR($C$3)</f>
        <v>FY 2021</v>
      </c>
      <c r="D6" s="46" t="str">
        <f>"FY "&amp;YEAR($C$3)-1</f>
        <v>FY 2020</v>
      </c>
      <c r="E6" s="46" t="str">
        <f>"FY "&amp;YEAR($C$3)-2</f>
        <v>FY 2019</v>
      </c>
      <c r="F6" s="46" t="str">
        <f>"FY "&amp;YEAR($C$3)-3</f>
        <v>FY 2018</v>
      </c>
      <c r="G6" s="46" t="str">
        <f>"FY "&amp;YEAR($C$3)-4</f>
        <v>FY 2017</v>
      </c>
      <c r="H6" s="46" t="str">
        <f>"FY "&amp;YEAR($C$3)-5</f>
        <v>FY 2016</v>
      </c>
      <c r="I6" s="46" t="str">
        <f>"FY "&amp;YEAR($C$3)-6</f>
        <v>FY 2015</v>
      </c>
      <c r="J6" s="46" t="str">
        <f>"FY "&amp;YEAR($C$3)-7</f>
        <v>FY 2014</v>
      </c>
      <c r="K6" s="46" t="str">
        <f>"FY "&amp;YEAR($C$3)-8</f>
        <v>FY 2013</v>
      </c>
      <c r="L6" s="46" t="str">
        <f>"FY "&amp;YEAR($C$3)-9</f>
        <v>FY 2012</v>
      </c>
      <c r="M6" s="315" t="str">
        <f>"FY "&amp;YEAR($C$3)-10</f>
        <v>FY 2011</v>
      </c>
    </row>
    <row r="7" spans="1:14" ht="15.75" customHeight="1" x14ac:dyDescent="0.3">
      <c r="A7" s="9"/>
      <c r="B7" s="47" t="s">
        <v>47</v>
      </c>
      <c r="C7" s="37">
        <v>15326764</v>
      </c>
      <c r="D7" s="37">
        <v>14526102</v>
      </c>
      <c r="E7" s="37">
        <v>18025422</v>
      </c>
      <c r="F7" s="37"/>
      <c r="G7" s="37"/>
      <c r="H7" s="37"/>
      <c r="I7" s="37"/>
      <c r="J7" s="37"/>
      <c r="K7" s="37"/>
      <c r="L7" s="37"/>
      <c r="M7" s="316"/>
      <c r="N7" s="6"/>
    </row>
    <row r="8" spans="1:14" ht="15.75" customHeight="1" x14ac:dyDescent="0.3">
      <c r="A8" s="9"/>
      <c r="B8" s="48" t="s">
        <v>48</v>
      </c>
      <c r="C8" s="14">
        <f t="shared" ref="C8:L8" si="0">IF(D7="","",C7/D7-1)</f>
        <v>5.511884743753015E-2</v>
      </c>
      <c r="D8" s="14">
        <f t="shared" si="0"/>
        <v>-0.19413248688435703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265"/>
      <c r="N8" s="6"/>
    </row>
    <row r="9" spans="1:14" ht="15.75" customHeight="1" x14ac:dyDescent="0.3">
      <c r="A9" s="9"/>
      <c r="B9" s="48" t="s">
        <v>49</v>
      </c>
      <c r="C9" s="37">
        <v>6583757</v>
      </c>
      <c r="D9" s="37">
        <v>6139239</v>
      </c>
      <c r="E9" s="37">
        <v>9041440</v>
      </c>
      <c r="F9" s="37"/>
      <c r="G9" s="37"/>
      <c r="H9" s="37"/>
      <c r="I9" s="37"/>
      <c r="J9" s="37"/>
      <c r="K9" s="37"/>
      <c r="L9" s="37"/>
      <c r="M9" s="316"/>
      <c r="N9" s="6"/>
    </row>
    <row r="10" spans="1:14" ht="15.75" customHeight="1" x14ac:dyDescent="0.3">
      <c r="A10" s="9"/>
      <c r="B10" s="48" t="s">
        <v>50</v>
      </c>
      <c r="C10" s="14">
        <f t="shared" ref="C10:M10" si="1">IF(C7="","",(C7-C9)/C7)</f>
        <v>0.57044050524950995</v>
      </c>
      <c r="D10" s="14">
        <f t="shared" si="1"/>
        <v>0.57736500817631597</v>
      </c>
      <c r="E10" s="14">
        <f t="shared" si="1"/>
        <v>0.49840619542776865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265" t="str">
        <f t="shared" si="1"/>
        <v/>
      </c>
      <c r="N10" s="6"/>
    </row>
    <row r="11" spans="1:14" ht="15.75" customHeight="1" x14ac:dyDescent="0.3">
      <c r="A11" s="9"/>
      <c r="B11" s="48" t="s">
        <v>51</v>
      </c>
      <c r="C11" s="37">
        <v>2003343</v>
      </c>
      <c r="D11" s="37">
        <v>1613699</v>
      </c>
      <c r="E11" s="37">
        <v>1602120</v>
      </c>
      <c r="F11" s="37"/>
      <c r="G11" s="37"/>
      <c r="H11" s="37"/>
      <c r="I11" s="37"/>
      <c r="J11" s="37"/>
      <c r="K11" s="37"/>
      <c r="L11" s="37"/>
      <c r="M11" s="316"/>
      <c r="N11" s="6"/>
    </row>
    <row r="12" spans="1:14" ht="15.75" customHeight="1" x14ac:dyDescent="0.3">
      <c r="A12" s="9"/>
      <c r="B12" s="48" t="s">
        <v>52</v>
      </c>
      <c r="C12" s="14">
        <f t="shared" ref="C12:M12" si="2">IF(C7="","",C10-C13)</f>
        <v>0.13070880454608685</v>
      </c>
      <c r="D12" s="14">
        <f t="shared" si="2"/>
        <v>0.11108960958693531</v>
      </c>
      <c r="E12" s="14">
        <f t="shared" si="2"/>
        <v>8.8881136874354505E-2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265" t="str">
        <f t="shared" si="2"/>
        <v/>
      </c>
      <c r="N12" s="6"/>
    </row>
    <row r="13" spans="1:14" ht="15.75" customHeight="1" x14ac:dyDescent="0.3">
      <c r="A13" s="9"/>
      <c r="B13" s="48" t="s">
        <v>53</v>
      </c>
      <c r="C13" s="14">
        <f t="shared" ref="C13:M13" si="3">IF(C14="","",C14/C7)</f>
        <v>0.4397317007034231</v>
      </c>
      <c r="D13" s="14">
        <f t="shared" si="3"/>
        <v>0.46627539858938066</v>
      </c>
      <c r="E13" s="14">
        <f t="shared" si="3"/>
        <v>0.40952505855341415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265" t="str">
        <f t="shared" si="3"/>
        <v/>
      </c>
      <c r="N13" s="6"/>
    </row>
    <row r="14" spans="1:14" ht="15.75" customHeight="1" x14ac:dyDescent="0.3">
      <c r="A14" s="9"/>
      <c r="B14" s="48" t="s">
        <v>54</v>
      </c>
      <c r="C14" s="29">
        <f t="shared" ref="C14:M14" si="4">IF(C7="","",C7-C9-C11)</f>
        <v>6739664</v>
      </c>
      <c r="D14" s="29">
        <f t="shared" si="4"/>
        <v>6773164</v>
      </c>
      <c r="E14" s="29">
        <f t="shared" si="4"/>
        <v>7381862</v>
      </c>
      <c r="F14" s="29" t="str">
        <f t="shared" si="4"/>
        <v/>
      </c>
      <c r="G14" s="29" t="str">
        <f t="shared" si="4"/>
        <v/>
      </c>
      <c r="H14" s="29" t="str">
        <f t="shared" si="4"/>
        <v/>
      </c>
      <c r="I14" s="29" t="str">
        <f t="shared" si="4"/>
        <v/>
      </c>
      <c r="J14" s="29" t="str">
        <f t="shared" si="4"/>
        <v/>
      </c>
      <c r="K14" s="29" t="str">
        <f t="shared" si="4"/>
        <v/>
      </c>
      <c r="L14" s="29" t="str">
        <f t="shared" si="4"/>
        <v/>
      </c>
      <c r="M14" s="317" t="str">
        <f t="shared" si="4"/>
        <v/>
      </c>
      <c r="N14" s="6"/>
    </row>
    <row r="15" spans="1:14" ht="15.75" customHeight="1" x14ac:dyDescent="0.3">
      <c r="A15" s="9"/>
      <c r="B15" s="48" t="s">
        <v>55</v>
      </c>
      <c r="C15" s="14">
        <f>IF(D14="","",IF(ABS(C14+D14)=ABS(C14)+ABS(D14),IF(C14&lt;0,-1,1)*(C14-D14)/D14,"Turn"))</f>
        <v>-4.9459897914770701E-3</v>
      </c>
      <c r="D15" s="14">
        <f t="shared" ref="D15:M15" si="5">IF(E14="","",IF(ABS(D14+E14)=ABS(D14)+ABS(E14),IF(D14&lt;0,-1,1)*(D14-E14)/E14,"Turn"))</f>
        <v>-8.2458599198955498E-2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265" t="str">
        <f t="shared" si="5"/>
        <v/>
      </c>
      <c r="N15" s="6"/>
    </row>
    <row r="16" spans="1:14" ht="15.75" customHeight="1" x14ac:dyDescent="0.3">
      <c r="A16" s="9"/>
      <c r="B16" s="48" t="s">
        <v>56</v>
      </c>
      <c r="C16" s="180">
        <f>IF(C14="","",C14*(1-'FCFF Model'!$D$6))</f>
        <v>5627619.4399999995</v>
      </c>
      <c r="D16" s="180">
        <f>IF(D14="","",D14*(1-'FCFF Model'!$D$6))</f>
        <v>5655591.9399999995</v>
      </c>
      <c r="E16" s="180">
        <f>IF(E14="","",E14*(1-'FCFF Model'!$D$6))</f>
        <v>6163854.7699999996</v>
      </c>
      <c r="F16" s="180" t="str">
        <f>IF(F14="","",F14*(1-'FCFF Model'!$D$6))</f>
        <v/>
      </c>
      <c r="G16" s="180" t="str">
        <f>IF(G14="","",G14*(1-'FCFF Model'!$D$6))</f>
        <v/>
      </c>
      <c r="H16" s="180" t="str">
        <f>IF(H14="","",H14*(1-'FCFF Model'!$D$6))</f>
        <v/>
      </c>
      <c r="I16" s="180" t="str">
        <f>IF(I14="","",I14*(1-'FCFF Model'!$D$6))</f>
        <v/>
      </c>
      <c r="J16" s="180" t="str">
        <f>IF(J14="","",J14*(1-'FCFF Model'!$D$6))</f>
        <v/>
      </c>
      <c r="K16" s="180" t="str">
        <f>IF(K14="","",K14*(1-'FCFF Model'!$D$6))</f>
        <v/>
      </c>
      <c r="L16" s="180" t="str">
        <f>IF(L14="","",L14*(1-'FCFF Model'!$D$6))</f>
        <v/>
      </c>
      <c r="M16" s="318" t="str">
        <f>IF(M14="","",M14*(1-'FCFF Model'!$D$6))</f>
        <v/>
      </c>
      <c r="N16" s="6"/>
    </row>
    <row r="17" spans="1:14" ht="15.75" customHeight="1" x14ac:dyDescent="0.3">
      <c r="A17" s="9"/>
      <c r="B17" s="179" t="s">
        <v>57</v>
      </c>
      <c r="C17" s="166">
        <f t="shared" ref="C17:M17" si="6">IF(C7="","",C16/C7)</f>
        <v>0.36717597008735825</v>
      </c>
      <c r="D17" s="166">
        <f t="shared" si="6"/>
        <v>0.38933995782213282</v>
      </c>
      <c r="E17" s="166">
        <f t="shared" si="6"/>
        <v>0.34195342389210082</v>
      </c>
      <c r="F17" s="166" t="str">
        <f t="shared" si="6"/>
        <v/>
      </c>
      <c r="G17" s="166" t="str">
        <f t="shared" si="6"/>
        <v/>
      </c>
      <c r="H17" s="166" t="str">
        <f t="shared" si="6"/>
        <v/>
      </c>
      <c r="I17" s="166" t="str">
        <f t="shared" si="6"/>
        <v/>
      </c>
      <c r="J17" s="166" t="str">
        <f t="shared" si="6"/>
        <v/>
      </c>
      <c r="K17" s="166" t="str">
        <f t="shared" si="6"/>
        <v/>
      </c>
      <c r="L17" s="166" t="str">
        <f t="shared" si="6"/>
        <v/>
      </c>
      <c r="M17" s="319" t="str">
        <f t="shared" si="6"/>
        <v/>
      </c>
      <c r="N17" s="6"/>
    </row>
    <row r="18" spans="1:14" ht="15.75" customHeight="1" x14ac:dyDescent="0.3">
      <c r="A18" s="9"/>
      <c r="B18" s="48" t="s">
        <v>353</v>
      </c>
      <c r="C18" s="181">
        <v>562656</v>
      </c>
      <c r="D18" s="181">
        <v>781715</v>
      </c>
      <c r="E18" s="181">
        <v>812565</v>
      </c>
      <c r="F18" s="181"/>
      <c r="G18" s="181"/>
      <c r="H18" s="181"/>
      <c r="I18" s="181"/>
      <c r="J18" s="181"/>
      <c r="K18" s="181"/>
      <c r="L18" s="181"/>
      <c r="M18" s="320"/>
      <c r="N18" s="6"/>
    </row>
    <row r="19" spans="1:14" ht="15.75" customHeight="1" x14ac:dyDescent="0.3">
      <c r="A19" s="9"/>
      <c r="B19" s="48" t="s">
        <v>58</v>
      </c>
      <c r="C19" s="37">
        <v>10358011</v>
      </c>
      <c r="D19" s="37">
        <v>5403203</v>
      </c>
      <c r="E19" s="37">
        <v>6897450</v>
      </c>
      <c r="F19" s="37"/>
      <c r="G19" s="37"/>
      <c r="H19" s="37"/>
      <c r="I19" s="37"/>
      <c r="J19" s="37"/>
      <c r="K19" s="37"/>
      <c r="L19" s="37"/>
      <c r="M19" s="316"/>
      <c r="N19" s="6"/>
    </row>
    <row r="20" spans="1:14" ht="15.75" customHeight="1" x14ac:dyDescent="0.3">
      <c r="A20" s="9"/>
      <c r="B20" s="48" t="s">
        <v>59</v>
      </c>
      <c r="C20" s="14">
        <f t="shared" ref="C20:M20" si="7">IF(C7="","",C19/C7)</f>
        <v>0.67581199788813873</v>
      </c>
      <c r="D20" s="14">
        <f t="shared" si="7"/>
        <v>0.37196510116753967</v>
      </c>
      <c r="E20" s="14">
        <f t="shared" si="7"/>
        <v>0.38265123557162767</v>
      </c>
      <c r="F20" s="14" t="str">
        <f t="shared" si="7"/>
        <v/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265" t="str">
        <f t="shared" si="7"/>
        <v/>
      </c>
      <c r="N20" s="6"/>
    </row>
    <row r="21" spans="1:14" ht="15.75" customHeight="1" x14ac:dyDescent="0.3">
      <c r="A21" s="9"/>
      <c r="B21" s="48" t="s">
        <v>60</v>
      </c>
      <c r="C21" s="219">
        <v>57965822</v>
      </c>
      <c r="D21" s="37">
        <v>46824778</v>
      </c>
      <c r="E21" s="37">
        <v>30542596</v>
      </c>
      <c r="F21" s="37"/>
      <c r="G21" s="37"/>
      <c r="H21" s="37"/>
      <c r="I21" s="37"/>
      <c r="J21" s="37"/>
      <c r="K21" s="37"/>
      <c r="L21" s="37"/>
      <c r="M21" s="316"/>
      <c r="N21" s="6"/>
    </row>
    <row r="22" spans="1:14" ht="15.75" customHeight="1" x14ac:dyDescent="0.3">
      <c r="A22" s="9"/>
      <c r="B22" s="48" t="s">
        <v>61</v>
      </c>
      <c r="C22" s="219">
        <v>20068482</v>
      </c>
      <c r="D22" s="37">
        <v>20617000</v>
      </c>
      <c r="E22" s="37">
        <v>19835482</v>
      </c>
      <c r="F22" s="37"/>
      <c r="G22" s="37"/>
      <c r="H22" s="37"/>
      <c r="I22" s="37"/>
      <c r="J22" s="37"/>
      <c r="K22" s="37"/>
      <c r="L22" s="37"/>
      <c r="M22" s="316"/>
      <c r="N22" s="6"/>
    </row>
    <row r="23" spans="1:14" ht="15.5" customHeight="1" x14ac:dyDescent="0.3">
      <c r="A23" s="9"/>
      <c r="B23" s="48" t="s">
        <v>62</v>
      </c>
      <c r="C23" s="219">
        <v>3146501.6940000001</v>
      </c>
      <c r="D23" s="37">
        <v>2894189</v>
      </c>
      <c r="E23" s="37">
        <v>864027</v>
      </c>
      <c r="F23" s="37"/>
      <c r="G23" s="37"/>
      <c r="H23" s="37"/>
      <c r="I23" s="37"/>
      <c r="J23" s="37"/>
      <c r="K23" s="37"/>
      <c r="L23" s="37"/>
      <c r="M23" s="316"/>
      <c r="N23" s="6"/>
    </row>
    <row r="24" spans="1:14" ht="15.75" customHeight="1" x14ac:dyDescent="0.3">
      <c r="A24" s="9"/>
      <c r="B24" s="178" t="s">
        <v>63</v>
      </c>
      <c r="C24" s="358">
        <v>31180.352999999999</v>
      </c>
      <c r="D24" s="177">
        <v>49241</v>
      </c>
      <c r="E24" s="177">
        <v>32031</v>
      </c>
      <c r="F24" s="177"/>
      <c r="G24" s="177"/>
      <c r="H24" s="177"/>
      <c r="I24" s="177"/>
      <c r="J24" s="177"/>
      <c r="K24" s="177"/>
      <c r="L24" s="177"/>
      <c r="M24" s="321"/>
      <c r="N24" s="6"/>
    </row>
    <row r="25" spans="1:14" ht="15.75" customHeight="1" x14ac:dyDescent="0.3">
      <c r="A25" s="9"/>
      <c r="B25" s="48" t="s">
        <v>64</v>
      </c>
      <c r="C25" s="219">
        <v>2956802.0830000001</v>
      </c>
      <c r="D25" s="37">
        <v>4131550</v>
      </c>
      <c r="E25" s="37">
        <v>6139127</v>
      </c>
      <c r="F25" s="37"/>
      <c r="G25" s="37"/>
      <c r="H25" s="37"/>
      <c r="I25" s="37"/>
      <c r="J25" s="37"/>
      <c r="K25" s="37"/>
      <c r="L25" s="37"/>
      <c r="M25" s="316"/>
      <c r="N25" s="6"/>
    </row>
    <row r="26" spans="1:14" ht="15.75" customHeight="1" x14ac:dyDescent="0.3">
      <c r="A26" s="9"/>
      <c r="B26" s="178" t="s">
        <v>65</v>
      </c>
      <c r="C26" s="218">
        <v>13550.745000000001</v>
      </c>
      <c r="D26" s="177">
        <v>19736</v>
      </c>
      <c r="E26" s="177">
        <v>7537</v>
      </c>
      <c r="F26" s="177"/>
      <c r="G26" s="177"/>
      <c r="H26" s="177"/>
      <c r="I26" s="177"/>
      <c r="J26" s="177"/>
      <c r="K26" s="177"/>
      <c r="L26" s="177"/>
      <c r="M26" s="321"/>
      <c r="N26" s="6"/>
    </row>
    <row r="27" spans="1:14" ht="15.75" customHeight="1" x14ac:dyDescent="0.3">
      <c r="A27" s="9"/>
      <c r="B27" s="48" t="s">
        <v>66</v>
      </c>
      <c r="C27" s="29">
        <f t="shared" ref="C27:M27" si="8">IF(C7="","",C23+C25)</f>
        <v>6103303.7770000007</v>
      </c>
      <c r="D27" s="29">
        <f t="shared" si="8"/>
        <v>7025739</v>
      </c>
      <c r="E27" s="29">
        <f t="shared" si="8"/>
        <v>7003154</v>
      </c>
      <c r="F27" s="29" t="str">
        <f t="shared" si="8"/>
        <v/>
      </c>
      <c r="G27" s="29" t="str">
        <f t="shared" si="8"/>
        <v/>
      </c>
      <c r="H27" s="29" t="str">
        <f t="shared" si="8"/>
        <v/>
      </c>
      <c r="I27" s="29" t="str">
        <f t="shared" si="8"/>
        <v/>
      </c>
      <c r="J27" s="29" t="str">
        <f t="shared" si="8"/>
        <v/>
      </c>
      <c r="K27" s="29" t="str">
        <f t="shared" si="8"/>
        <v/>
      </c>
      <c r="L27" s="29" t="str">
        <f t="shared" si="8"/>
        <v/>
      </c>
      <c r="M27" s="317" t="str">
        <f t="shared" si="8"/>
        <v/>
      </c>
      <c r="N27" s="6"/>
    </row>
    <row r="28" spans="1:14" ht="15.75" customHeight="1" x14ac:dyDescent="0.3">
      <c r="A28" s="9"/>
      <c r="B28" s="48" t="s">
        <v>67</v>
      </c>
      <c r="C28" s="219">
        <v>128099808</v>
      </c>
      <c r="D28" s="37">
        <v>124656340</v>
      </c>
      <c r="E28" s="37">
        <v>115383027</v>
      </c>
      <c r="F28" s="37"/>
      <c r="G28" s="37"/>
      <c r="H28" s="37"/>
      <c r="I28" s="37"/>
      <c r="J28" s="37"/>
      <c r="K28" s="37"/>
      <c r="L28" s="37"/>
      <c r="M28" s="316"/>
      <c r="N28" s="6"/>
    </row>
    <row r="29" spans="1:14" ht="15.75" customHeight="1" x14ac:dyDescent="0.3">
      <c r="A29" s="9"/>
      <c r="B29" s="178" t="s">
        <v>282</v>
      </c>
      <c r="C29" s="218">
        <v>116828895</v>
      </c>
      <c r="D29" s="177"/>
      <c r="E29" s="177"/>
      <c r="F29" s="177"/>
      <c r="G29" s="177"/>
      <c r="H29" s="177"/>
      <c r="I29" s="177"/>
      <c r="J29" s="177"/>
      <c r="K29" s="177"/>
      <c r="L29" s="177"/>
      <c r="M29" s="321"/>
      <c r="N29" s="6"/>
    </row>
    <row r="30" spans="1:14" ht="15.75" customHeight="1" x14ac:dyDescent="0.3">
      <c r="A30" s="9"/>
      <c r="B30" s="48" t="s">
        <v>68</v>
      </c>
      <c r="C30" s="219">
        <v>23614144</v>
      </c>
      <c r="D30" s="37">
        <v>21538970</v>
      </c>
      <c r="E30" s="37">
        <v>15235372</v>
      </c>
      <c r="F30" s="37"/>
      <c r="G30" s="37"/>
      <c r="H30" s="37"/>
      <c r="I30" s="37"/>
      <c r="J30" s="37"/>
      <c r="K30" s="37"/>
      <c r="L30" s="37"/>
      <c r="M30" s="316"/>
      <c r="N30" s="6"/>
    </row>
    <row r="31" spans="1:14" ht="15.75" customHeight="1" x14ac:dyDescent="0.3">
      <c r="A31" s="9"/>
      <c r="B31" s="48" t="s">
        <v>312</v>
      </c>
      <c r="C31" s="219">
        <v>16946370</v>
      </c>
      <c r="D31" s="37">
        <v>16429494</v>
      </c>
      <c r="E31" s="37">
        <v>11743843</v>
      </c>
      <c r="F31" s="37"/>
      <c r="G31" s="37"/>
      <c r="H31" s="37"/>
      <c r="I31" s="37"/>
      <c r="J31" s="37"/>
      <c r="K31" s="37"/>
      <c r="L31" s="37"/>
      <c r="M31" s="316"/>
      <c r="N31" s="6"/>
    </row>
    <row r="32" spans="1:14" ht="15.75" customHeight="1" x14ac:dyDescent="0.3">
      <c r="A32" s="9"/>
      <c r="B32" s="48" t="s">
        <v>69</v>
      </c>
      <c r="C32" s="14">
        <f t="shared" ref="C32:M32" si="9">IF(D7="","",(C30-D30)/C30)</f>
        <v>8.7878434212986925E-2</v>
      </c>
      <c r="D32" s="14">
        <f t="shared" si="9"/>
        <v>0.29266014113023975</v>
      </c>
      <c r="E32" s="14" t="str">
        <f t="shared" si="9"/>
        <v/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265" t="str">
        <f t="shared" si="9"/>
        <v/>
      </c>
      <c r="N32" s="6"/>
    </row>
    <row r="33" spans="1:14" ht="15.75" customHeight="1" x14ac:dyDescent="0.3">
      <c r="A33" s="9"/>
      <c r="B33" s="48" t="s">
        <v>70</v>
      </c>
      <c r="C33" s="323">
        <f t="shared" ref="C33:M33" si="10">IF(D7="","",(C7-D7)*$D$49)</f>
        <v>55245.678000000007</v>
      </c>
      <c r="D33" s="323">
        <f t="shared" si="10"/>
        <v>-241453.08000000002</v>
      </c>
      <c r="E33" s="323" t="str">
        <f t="shared" si="10"/>
        <v/>
      </c>
      <c r="F33" s="323" t="str">
        <f t="shared" si="10"/>
        <v/>
      </c>
      <c r="G33" s="323" t="str">
        <f t="shared" si="10"/>
        <v/>
      </c>
      <c r="H33" s="323" t="str">
        <f t="shared" si="10"/>
        <v/>
      </c>
      <c r="I33" s="323" t="str">
        <f t="shared" si="10"/>
        <v/>
      </c>
      <c r="J33" s="323" t="str">
        <f t="shared" si="10"/>
        <v/>
      </c>
      <c r="K33" s="323" t="str">
        <f t="shared" si="10"/>
        <v/>
      </c>
      <c r="L33" s="323" t="str">
        <f t="shared" si="10"/>
        <v/>
      </c>
      <c r="M33" s="324" t="str">
        <f t="shared" si="10"/>
        <v/>
      </c>
      <c r="N33" s="6"/>
    </row>
    <row r="34" spans="1:14" ht="15.75" customHeight="1" x14ac:dyDescent="0.3">
      <c r="A34" s="9"/>
      <c r="B34" s="48" t="s">
        <v>71</v>
      </c>
      <c r="C34" s="180">
        <f t="shared" ref="C34:M34" si="11">IF(D7="","",C30-D30+C33)</f>
        <v>2130419.6779999998</v>
      </c>
      <c r="D34" s="180">
        <f t="shared" si="11"/>
        <v>6062144.9199999999</v>
      </c>
      <c r="E34" s="180" t="str">
        <f t="shared" si="11"/>
        <v/>
      </c>
      <c r="F34" s="180" t="str">
        <f t="shared" si="11"/>
        <v/>
      </c>
      <c r="G34" s="180" t="str">
        <f t="shared" si="11"/>
        <v/>
      </c>
      <c r="H34" s="180" t="str">
        <f t="shared" si="11"/>
        <v/>
      </c>
      <c r="I34" s="180" t="str">
        <f t="shared" si="11"/>
        <v/>
      </c>
      <c r="J34" s="180" t="str">
        <f t="shared" si="11"/>
        <v/>
      </c>
      <c r="K34" s="180" t="str">
        <f t="shared" si="11"/>
        <v/>
      </c>
      <c r="L34" s="180" t="str">
        <f t="shared" si="11"/>
        <v/>
      </c>
      <c r="M34" s="318" t="str">
        <f t="shared" si="11"/>
        <v/>
      </c>
      <c r="N34" s="6"/>
    </row>
    <row r="35" spans="1:14" ht="15.75" customHeight="1" x14ac:dyDescent="0.3">
      <c r="A35" s="9"/>
      <c r="B35" s="322" t="s">
        <v>72</v>
      </c>
      <c r="C35" s="313">
        <f t="shared" ref="C35:M35" si="12">IF(C34="","",C34/C16)</f>
        <v>0.37856498661892463</v>
      </c>
      <c r="D35" s="313">
        <f t="shared" si="12"/>
        <v>1.0718851332120685</v>
      </c>
      <c r="E35" s="313" t="str">
        <f t="shared" si="12"/>
        <v/>
      </c>
      <c r="F35" s="313" t="str">
        <f t="shared" si="12"/>
        <v/>
      </c>
      <c r="G35" s="313" t="str">
        <f t="shared" si="12"/>
        <v/>
      </c>
      <c r="H35" s="313" t="str">
        <f t="shared" si="12"/>
        <v/>
      </c>
      <c r="I35" s="313" t="str">
        <f t="shared" si="12"/>
        <v/>
      </c>
      <c r="J35" s="313" t="str">
        <f t="shared" si="12"/>
        <v/>
      </c>
      <c r="K35" s="313" t="str">
        <f t="shared" si="12"/>
        <v/>
      </c>
      <c r="L35" s="313" t="str">
        <f t="shared" si="12"/>
        <v/>
      </c>
      <c r="M35" s="314" t="str">
        <f t="shared" si="12"/>
        <v/>
      </c>
      <c r="N35" s="6"/>
    </row>
    <row r="36" spans="1:14" ht="15.75" customHeight="1" x14ac:dyDescent="0.3">
      <c r="A36" s="9"/>
      <c r="B36" s="51" t="s">
        <v>73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211" t="s">
        <v>354</v>
      </c>
      <c r="C37" s="208">
        <v>5316230</v>
      </c>
      <c r="D37" s="208">
        <v>1966277</v>
      </c>
      <c r="E37" s="208">
        <v>1965289</v>
      </c>
      <c r="F37" s="208"/>
      <c r="G37" s="208"/>
      <c r="H37" s="208"/>
      <c r="I37" s="208"/>
      <c r="J37" s="208"/>
      <c r="K37" s="208"/>
      <c r="L37" s="208"/>
      <c r="M37" s="209"/>
      <c r="N37" s="6"/>
    </row>
    <row r="38" spans="1:14" ht="15.75" customHeight="1" x14ac:dyDescent="0.3">
      <c r="A38" s="9"/>
      <c r="B38" s="179" t="s">
        <v>74</v>
      </c>
      <c r="C38" s="207">
        <v>40396</v>
      </c>
      <c r="D38" s="207">
        <v>0</v>
      </c>
      <c r="E38" s="207">
        <v>0</v>
      </c>
      <c r="F38" s="207"/>
      <c r="G38" s="207"/>
      <c r="H38" s="207"/>
      <c r="I38" s="207"/>
      <c r="J38" s="207"/>
      <c r="K38" s="207"/>
      <c r="L38" s="207"/>
      <c r="M38" s="210"/>
      <c r="N38" s="6"/>
    </row>
    <row r="39" spans="1:14" ht="15.75" customHeight="1" x14ac:dyDescent="0.3">
      <c r="A39" s="9"/>
      <c r="B39" s="179" t="s">
        <v>278</v>
      </c>
      <c r="C39" s="213">
        <f t="shared" ref="C39:M39" si="13">IF(C37="","",C37*$C$4/Common_Shares)</f>
        <v>3.663056256641724</v>
      </c>
      <c r="D39" s="213">
        <f t="shared" si="13"/>
        <v>1.3548291302559745</v>
      </c>
      <c r="E39" s="213">
        <f t="shared" si="13"/>
        <v>1.3541483659584248</v>
      </c>
      <c r="F39" s="213" t="str">
        <f t="shared" si="13"/>
        <v/>
      </c>
      <c r="G39" s="213" t="str">
        <f t="shared" si="13"/>
        <v/>
      </c>
      <c r="H39" s="213" t="str">
        <f t="shared" si="13"/>
        <v/>
      </c>
      <c r="I39" s="213" t="str">
        <f t="shared" si="13"/>
        <v/>
      </c>
      <c r="J39" s="213" t="str">
        <f t="shared" si="13"/>
        <v/>
      </c>
      <c r="K39" s="213" t="str">
        <f t="shared" si="13"/>
        <v/>
      </c>
      <c r="L39" s="213" t="str">
        <f t="shared" si="13"/>
        <v/>
      </c>
      <c r="M39" s="214" t="str">
        <f t="shared" si="13"/>
        <v/>
      </c>
      <c r="N39" s="6"/>
    </row>
    <row r="40" spans="1:14" ht="15.75" customHeight="1" x14ac:dyDescent="0.3">
      <c r="A40" s="9"/>
      <c r="B40" s="212" t="s">
        <v>279</v>
      </c>
      <c r="C40" s="215">
        <f t="shared" ref="C40:M40" si="14">IF(C38="","",C38*$C$4/Common_Shares)</f>
        <v>2.7834164538272248E-2</v>
      </c>
      <c r="D40" s="215">
        <f t="shared" si="14"/>
        <v>0</v>
      </c>
      <c r="E40" s="215">
        <f t="shared" si="14"/>
        <v>0</v>
      </c>
      <c r="F40" s="215" t="str">
        <f t="shared" si="14"/>
        <v/>
      </c>
      <c r="G40" s="215" t="str">
        <f t="shared" si="14"/>
        <v/>
      </c>
      <c r="H40" s="215" t="str">
        <f t="shared" si="14"/>
        <v/>
      </c>
      <c r="I40" s="215" t="str">
        <f t="shared" si="14"/>
        <v/>
      </c>
      <c r="J40" s="215" t="str">
        <f t="shared" si="14"/>
        <v/>
      </c>
      <c r="K40" s="215" t="str">
        <f t="shared" si="14"/>
        <v/>
      </c>
      <c r="L40" s="215" t="str">
        <f t="shared" si="14"/>
        <v/>
      </c>
      <c r="M40" s="216" t="str">
        <f t="shared" si="14"/>
        <v/>
      </c>
      <c r="N40" s="6"/>
    </row>
    <row r="41" spans="1:14" ht="15.75" customHeight="1" x14ac:dyDescent="0.3">
      <c r="A41" s="9"/>
      <c r="B41" s="120" t="s">
        <v>75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7" t="s">
        <v>76</v>
      </c>
      <c r="C42" s="52">
        <f>IF(C29="","",C25/C28)</f>
        <v>2.3082018069847537E-2</v>
      </c>
      <c r="D42" s="52" t="str">
        <f t="shared" ref="D42:M42" si="15">IF(D29="","",D25/D29)</f>
        <v/>
      </c>
      <c r="E42" s="52" t="str">
        <f t="shared" si="15"/>
        <v/>
      </c>
      <c r="F42" s="52" t="str">
        <f t="shared" si="15"/>
        <v/>
      </c>
      <c r="G42" s="52" t="str">
        <f t="shared" si="15"/>
        <v/>
      </c>
      <c r="H42" s="52" t="str">
        <f t="shared" si="15"/>
        <v/>
      </c>
      <c r="I42" s="52" t="str">
        <f t="shared" si="15"/>
        <v/>
      </c>
      <c r="J42" s="52" t="str">
        <f t="shared" si="15"/>
        <v/>
      </c>
      <c r="K42" s="52" t="str">
        <f t="shared" si="15"/>
        <v/>
      </c>
      <c r="L42" s="52" t="str">
        <f t="shared" si="15"/>
        <v/>
      </c>
      <c r="M42" s="264" t="str">
        <f t="shared" si="15"/>
        <v/>
      </c>
      <c r="N42" s="6"/>
    </row>
    <row r="43" spans="1:14" ht="15.75" customHeight="1" x14ac:dyDescent="0.3">
      <c r="A43" s="9"/>
      <c r="B43" s="48" t="s">
        <v>349</v>
      </c>
      <c r="C43" s="14">
        <f t="shared" ref="C43:M43" si="16">IF(C29="","",C27/C29)</f>
        <v>5.2241389229950357E-2</v>
      </c>
      <c r="D43" s="14" t="str">
        <f t="shared" si="16"/>
        <v/>
      </c>
      <c r="E43" s="14" t="str">
        <f t="shared" si="16"/>
        <v/>
      </c>
      <c r="F43" s="14" t="str">
        <f t="shared" si="16"/>
        <v/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65" t="str">
        <f t="shared" si="16"/>
        <v/>
      </c>
      <c r="N43" s="6"/>
    </row>
    <row r="44" spans="1:14" ht="15.75" customHeight="1" x14ac:dyDescent="0.3">
      <c r="A44" s="9"/>
      <c r="B44" s="48" t="s">
        <v>77</v>
      </c>
      <c r="C44" s="54">
        <f t="shared" ref="C44:M44" si="17">IF(C14="","",IF(C27&lt;=0,"-",C14/C27))</f>
        <v>1.1042648778843502</v>
      </c>
      <c r="D44" s="54">
        <f t="shared" si="17"/>
        <v>0.96405004512692549</v>
      </c>
      <c r="E44" s="54">
        <f t="shared" si="17"/>
        <v>1.0540767774062945</v>
      </c>
      <c r="F44" s="54" t="str">
        <f t="shared" si="17"/>
        <v/>
      </c>
      <c r="G44" s="54" t="str">
        <f t="shared" si="17"/>
        <v/>
      </c>
      <c r="H44" s="54" t="str">
        <f t="shared" si="17"/>
        <v/>
      </c>
      <c r="I44" s="54" t="str">
        <f t="shared" si="17"/>
        <v/>
      </c>
      <c r="J44" s="54" t="str">
        <f t="shared" si="17"/>
        <v/>
      </c>
      <c r="K44" s="54" t="str">
        <f t="shared" si="17"/>
        <v/>
      </c>
      <c r="L44" s="54" t="str">
        <f t="shared" si="17"/>
        <v/>
      </c>
      <c r="M44" s="266" t="str">
        <f t="shared" si="17"/>
        <v/>
      </c>
      <c r="N44" s="6"/>
    </row>
    <row r="45" spans="1:14" ht="15.75" customHeight="1" x14ac:dyDescent="0.3">
      <c r="A45" s="9"/>
      <c r="B45" s="48" t="s">
        <v>78</v>
      </c>
      <c r="C45" s="14">
        <f t="shared" ref="C45:M45" si="18">IF(C16="","",IF(C18&lt;=0,"-",C18/C16))</f>
        <v>9.9981174277839951E-2</v>
      </c>
      <c r="D45" s="14">
        <f t="shared" si="18"/>
        <v>0.13821983769217977</v>
      </c>
      <c r="E45" s="14">
        <f t="shared" si="18"/>
        <v>0.13182740838652174</v>
      </c>
      <c r="F45" s="14" t="str">
        <f t="shared" si="18"/>
        <v/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65" t="str">
        <f t="shared" si="18"/>
        <v/>
      </c>
      <c r="N45" s="6"/>
    </row>
    <row r="46" spans="1:14" ht="15.75" customHeight="1" x14ac:dyDescent="0.3">
      <c r="A46" s="9"/>
      <c r="B46" s="50" t="s">
        <v>79</v>
      </c>
      <c r="C46" s="55">
        <f t="shared" ref="C46:M46" si="19">IF(C21="","",C21/C22)</f>
        <v>2.8884009263879551</v>
      </c>
      <c r="D46" s="55">
        <f t="shared" si="19"/>
        <v>2.2711732065770964</v>
      </c>
      <c r="E46" s="55">
        <f t="shared" si="19"/>
        <v>1.5397960079820596</v>
      </c>
      <c r="F46" s="55" t="str">
        <f t="shared" si="19"/>
        <v/>
      </c>
      <c r="G46" s="55" t="str">
        <f t="shared" si="19"/>
        <v/>
      </c>
      <c r="H46" s="55" t="str">
        <f t="shared" si="19"/>
        <v/>
      </c>
      <c r="I46" s="55" t="str">
        <f t="shared" si="19"/>
        <v/>
      </c>
      <c r="J46" s="55" t="str">
        <f t="shared" si="19"/>
        <v/>
      </c>
      <c r="K46" s="55" t="str">
        <f t="shared" si="19"/>
        <v/>
      </c>
      <c r="L46" s="55" t="str">
        <f t="shared" si="19"/>
        <v/>
      </c>
      <c r="M46" s="267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2" t="s">
        <v>80</v>
      </c>
      <c r="C48" s="56"/>
      <c r="D48" s="56"/>
      <c r="E48" s="56"/>
      <c r="F48" s="56"/>
    </row>
    <row r="49" spans="1:6" ht="15.75" customHeight="1" x14ac:dyDescent="0.3">
      <c r="A49" s="9"/>
      <c r="B49" s="6" t="s">
        <v>81</v>
      </c>
      <c r="C49" s="6"/>
      <c r="D49" s="439">
        <v>6.9000000000000006E-2</v>
      </c>
      <c r="E49" s="440"/>
      <c r="F49" s="348" t="s">
        <v>339</v>
      </c>
    </row>
    <row r="50" spans="1:6" ht="15" customHeight="1" x14ac:dyDescent="0.3">
      <c r="A50" s="9"/>
      <c r="B50" s="57" t="s">
        <v>82</v>
      </c>
      <c r="C50" s="6"/>
      <c r="D50" s="434" t="s">
        <v>83</v>
      </c>
      <c r="E50" s="379"/>
      <c r="F50" s="6"/>
    </row>
    <row r="51" spans="1:6" ht="15" customHeight="1" x14ac:dyDescent="0.3">
      <c r="A51" s="9"/>
      <c r="B51" s="57"/>
      <c r="D51" s="24"/>
      <c r="E51" s="24"/>
    </row>
    <row r="52" spans="1:6" ht="15.75" customHeight="1" x14ac:dyDescent="0.3">
      <c r="A52" s="9"/>
      <c r="B52" s="58" t="s">
        <v>84</v>
      </c>
      <c r="C52" s="59"/>
      <c r="D52" s="435">
        <v>5</v>
      </c>
      <c r="E52" s="436"/>
      <c r="F52" s="60"/>
    </row>
    <row r="53" spans="1:6" ht="15.75" customHeight="1" x14ac:dyDescent="0.3">
      <c r="A53" s="9"/>
      <c r="B53" s="61" t="s">
        <v>85</v>
      </c>
      <c r="C53" s="62" t="s">
        <v>86</v>
      </c>
      <c r="D53" s="437" t="s">
        <v>87</v>
      </c>
      <c r="E53" s="438"/>
      <c r="F53" s="63" t="s">
        <v>88</v>
      </c>
    </row>
    <row r="54" spans="1:6" ht="15.75" customHeight="1" x14ac:dyDescent="0.3">
      <c r="A54" s="9"/>
      <c r="B54" s="64" t="str">
        <f>C6</f>
        <v>FY 2021</v>
      </c>
      <c r="C54" s="65"/>
      <c r="D54" s="66">
        <f>1</f>
        <v>1</v>
      </c>
      <c r="E54" s="67">
        <f t="shared" ref="E54:E64" si="20">C54*D54</f>
        <v>0</v>
      </c>
      <c r="F54" s="68">
        <v>0</v>
      </c>
    </row>
    <row r="55" spans="1:6" ht="15.75" customHeight="1" x14ac:dyDescent="0.3">
      <c r="A55" s="9"/>
      <c r="B55" s="69">
        <f>IF(D7="","",-1)</f>
        <v>-1</v>
      </c>
      <c r="C55" s="65"/>
      <c r="D55" s="66">
        <f t="shared" ref="D55:D64" si="21">IF(B55&lt;0,(D$52+B55)/D$52,0)</f>
        <v>0.8</v>
      </c>
      <c r="E55" s="67">
        <f t="shared" si="20"/>
        <v>0</v>
      </c>
      <c r="F55" s="68">
        <f t="shared" ref="F55:F64" si="22">IF(B55&lt;0,C55/$D$52,0)</f>
        <v>0</v>
      </c>
    </row>
    <row r="56" spans="1:6" ht="15.75" customHeight="1" x14ac:dyDescent="0.3">
      <c r="A56" s="9"/>
      <c r="B56" s="69">
        <f t="shared" ref="B56:B64" si="23">IF((0-B55)&lt;$D$52,IF(B55&gt;-1, ,B55-1), )</f>
        <v>-2</v>
      </c>
      <c r="C56" s="65"/>
      <c r="D56" s="66">
        <f t="shared" si="21"/>
        <v>0.6</v>
      </c>
      <c r="E56" s="67">
        <f t="shared" si="20"/>
        <v>0</v>
      </c>
      <c r="F56" s="68">
        <f t="shared" si="22"/>
        <v>0</v>
      </c>
    </row>
    <row r="57" spans="1:6" ht="15.75" customHeight="1" x14ac:dyDescent="0.3">
      <c r="A57" s="9"/>
      <c r="B57" s="69">
        <f t="shared" si="23"/>
        <v>-3</v>
      </c>
      <c r="C57" s="65"/>
      <c r="D57" s="66">
        <f t="shared" si="21"/>
        <v>0.4</v>
      </c>
      <c r="E57" s="67">
        <f t="shared" si="20"/>
        <v>0</v>
      </c>
      <c r="F57" s="68">
        <f t="shared" si="22"/>
        <v>0</v>
      </c>
    </row>
    <row r="58" spans="1:6" ht="15.75" customHeight="1" x14ac:dyDescent="0.3">
      <c r="A58" s="9"/>
      <c r="B58" s="69">
        <f t="shared" si="23"/>
        <v>-4</v>
      </c>
      <c r="C58" s="65"/>
      <c r="D58" s="66">
        <f t="shared" si="21"/>
        <v>0.2</v>
      </c>
      <c r="E58" s="67">
        <f t="shared" si="20"/>
        <v>0</v>
      </c>
      <c r="F58" s="68">
        <f t="shared" si="22"/>
        <v>0</v>
      </c>
    </row>
    <row r="59" spans="1:6" ht="15.75" customHeight="1" x14ac:dyDescent="0.3">
      <c r="A59" s="9"/>
      <c r="B59" s="69">
        <f t="shared" si="23"/>
        <v>-5</v>
      </c>
      <c r="C59" s="65"/>
      <c r="D59" s="66">
        <f t="shared" si="21"/>
        <v>0</v>
      </c>
      <c r="E59" s="67">
        <f t="shared" si="20"/>
        <v>0</v>
      </c>
      <c r="F59" s="68">
        <f t="shared" si="22"/>
        <v>0</v>
      </c>
    </row>
    <row r="60" spans="1:6" ht="15.75" customHeight="1" x14ac:dyDescent="0.3">
      <c r="A60" s="9"/>
      <c r="B60" s="69">
        <f t="shared" si="23"/>
        <v>0</v>
      </c>
      <c r="C60" s="65"/>
      <c r="D60" s="66">
        <f t="shared" si="21"/>
        <v>0</v>
      </c>
      <c r="E60" s="67">
        <f t="shared" si="20"/>
        <v>0</v>
      </c>
      <c r="F60" s="68">
        <f t="shared" si="22"/>
        <v>0</v>
      </c>
    </row>
    <row r="61" spans="1:6" ht="15.75" customHeight="1" x14ac:dyDescent="0.3">
      <c r="A61" s="9"/>
      <c r="B61" s="69">
        <f t="shared" si="23"/>
        <v>0</v>
      </c>
      <c r="C61" s="65"/>
      <c r="D61" s="66">
        <f t="shared" si="21"/>
        <v>0</v>
      </c>
      <c r="E61" s="67">
        <f t="shared" si="20"/>
        <v>0</v>
      </c>
      <c r="F61" s="68">
        <f t="shared" si="22"/>
        <v>0</v>
      </c>
    </row>
    <row r="62" spans="1:6" ht="15.75" customHeight="1" x14ac:dyDescent="0.3">
      <c r="A62" s="9"/>
      <c r="B62" s="69">
        <f t="shared" si="23"/>
        <v>0</v>
      </c>
      <c r="C62" s="65"/>
      <c r="D62" s="66">
        <f t="shared" si="21"/>
        <v>0</v>
      </c>
      <c r="E62" s="67">
        <f t="shared" si="20"/>
        <v>0</v>
      </c>
      <c r="F62" s="68">
        <f t="shared" si="22"/>
        <v>0</v>
      </c>
    </row>
    <row r="63" spans="1:6" ht="15.75" customHeight="1" x14ac:dyDescent="0.3">
      <c r="A63" s="9"/>
      <c r="B63" s="69">
        <f t="shared" si="23"/>
        <v>0</v>
      </c>
      <c r="C63" s="65"/>
      <c r="D63" s="66">
        <f t="shared" si="21"/>
        <v>0</v>
      </c>
      <c r="E63" s="67">
        <f t="shared" si="20"/>
        <v>0</v>
      </c>
      <c r="F63" s="68">
        <f t="shared" si="22"/>
        <v>0</v>
      </c>
    </row>
    <row r="64" spans="1:6" ht="15.75" customHeight="1" x14ac:dyDescent="0.3">
      <c r="A64" s="9"/>
      <c r="B64" s="69">
        <f t="shared" si="23"/>
        <v>0</v>
      </c>
      <c r="C64" s="65"/>
      <c r="D64" s="66">
        <f t="shared" si="21"/>
        <v>0</v>
      </c>
      <c r="E64" s="67">
        <f t="shared" si="20"/>
        <v>0</v>
      </c>
      <c r="F64" s="68">
        <f t="shared" si="22"/>
        <v>0</v>
      </c>
    </row>
    <row r="65" spans="1:6" ht="15.75" customHeight="1" x14ac:dyDescent="0.3">
      <c r="A65" s="9"/>
      <c r="B65" s="70" t="s">
        <v>89</v>
      </c>
      <c r="C65" s="57"/>
      <c r="D65" s="57"/>
      <c r="E65" s="67">
        <f>SUM(E54:E64)</f>
        <v>0</v>
      </c>
      <c r="F65" s="71"/>
    </row>
    <row r="66" spans="1:6" ht="15.75" customHeight="1" x14ac:dyDescent="0.3">
      <c r="A66" s="9"/>
      <c r="B66" s="70" t="s">
        <v>90</v>
      </c>
      <c r="C66" s="57"/>
      <c r="D66" s="57"/>
      <c r="E66" s="57"/>
      <c r="F66" s="68">
        <f>SUM(F55:F64)</f>
        <v>0</v>
      </c>
    </row>
    <row r="67" spans="1:6" ht="15.75" customHeight="1" x14ac:dyDescent="0.3">
      <c r="A67" s="9"/>
      <c r="B67" s="70"/>
      <c r="C67" s="57"/>
      <c r="D67" s="57"/>
      <c r="E67" s="57"/>
      <c r="F67" s="71"/>
    </row>
    <row r="68" spans="1:6" ht="15.75" customHeight="1" x14ac:dyDescent="0.3">
      <c r="A68" s="9"/>
      <c r="B68" s="72"/>
      <c r="C68" s="73" t="s">
        <v>91</v>
      </c>
      <c r="D68" s="73" t="s">
        <v>92</v>
      </c>
      <c r="E68" s="74" t="s">
        <v>93</v>
      </c>
      <c r="F68" s="75" t="s">
        <v>94</v>
      </c>
    </row>
    <row r="69" spans="1:6" ht="15.75" customHeight="1" x14ac:dyDescent="0.3">
      <c r="A69" s="9"/>
      <c r="B69" s="70" t="s">
        <v>95</v>
      </c>
      <c r="C69" s="76">
        <f>C14</f>
        <v>6739664</v>
      </c>
      <c r="D69" s="76">
        <f>C69+C54-F66</f>
        <v>6739664</v>
      </c>
      <c r="E69" s="57" t="s">
        <v>96</v>
      </c>
      <c r="F69" s="71" t="s">
        <v>97</v>
      </c>
    </row>
    <row r="70" spans="1:6" ht="15.75" customHeight="1" x14ac:dyDescent="0.3">
      <c r="A70" s="9"/>
      <c r="B70" s="70" t="s">
        <v>98</v>
      </c>
      <c r="C70" s="77">
        <f t="shared" ref="C70:D70" si="24">C69/$C$7</f>
        <v>0.4397317007034231</v>
      </c>
      <c r="D70" s="77">
        <f t="shared" si="24"/>
        <v>0.4397317007034231</v>
      </c>
      <c r="E70" s="57" t="s">
        <v>99</v>
      </c>
      <c r="F70" s="71" t="s">
        <v>100</v>
      </c>
    </row>
    <row r="71" spans="1:6" ht="15.75" customHeight="1" x14ac:dyDescent="0.3">
      <c r="A71" s="9"/>
      <c r="B71" s="70" t="s">
        <v>101</v>
      </c>
      <c r="C71" s="76">
        <f>C34</f>
        <v>2130419.6779999998</v>
      </c>
      <c r="D71" s="76">
        <f>C71+E65-F66</f>
        <v>2130419.6779999998</v>
      </c>
      <c r="E71" s="57" t="s">
        <v>102</v>
      </c>
      <c r="F71" s="71" t="s">
        <v>103</v>
      </c>
    </row>
    <row r="72" spans="1:6" ht="15.75" customHeight="1" x14ac:dyDescent="0.3">
      <c r="A72" s="9"/>
      <c r="B72" s="70" t="s">
        <v>104</v>
      </c>
      <c r="C72" s="76">
        <f>C16</f>
        <v>5627619.4399999995</v>
      </c>
      <c r="D72" s="76">
        <f>C72+C55</f>
        <v>5627619.4399999995</v>
      </c>
      <c r="E72" s="57" t="s">
        <v>105</v>
      </c>
      <c r="F72" s="71" t="s">
        <v>106</v>
      </c>
    </row>
    <row r="73" spans="1:6" ht="15.75" customHeight="1" x14ac:dyDescent="0.3">
      <c r="A73" s="9"/>
      <c r="B73" s="70" t="s">
        <v>107</v>
      </c>
      <c r="C73" s="76">
        <f>F3</f>
        <v>10358011</v>
      </c>
      <c r="D73" s="76">
        <f>C73+C54-F66</f>
        <v>10358011</v>
      </c>
      <c r="E73" s="57" t="s">
        <v>108</v>
      </c>
      <c r="F73" s="71" t="s">
        <v>106</v>
      </c>
    </row>
    <row r="74" spans="1:6" ht="15.75" customHeight="1" x14ac:dyDescent="0.3">
      <c r="A74" s="9"/>
      <c r="B74" s="78" t="s">
        <v>109</v>
      </c>
      <c r="C74" s="79" t="e">
        <f>#REF!</f>
        <v>#REF!</v>
      </c>
      <c r="D74" s="79" t="e">
        <f>C74+E65</f>
        <v>#REF!</v>
      </c>
      <c r="E74" s="8" t="s">
        <v>110</v>
      </c>
      <c r="F74" s="80" t="s">
        <v>106</v>
      </c>
    </row>
    <row r="75" spans="1:6" ht="15.75" customHeight="1" x14ac:dyDescent="0.3">
      <c r="A75" s="9"/>
      <c r="B75" s="57"/>
      <c r="C75" s="81"/>
      <c r="D75" s="81"/>
    </row>
    <row r="76" spans="1:6" ht="15.75" customHeight="1" x14ac:dyDescent="0.3">
      <c r="A76" s="9"/>
      <c r="B76" s="57"/>
      <c r="C76" s="81"/>
      <c r="D76" s="81"/>
    </row>
    <row r="77" spans="1:6" ht="15.75" customHeight="1" x14ac:dyDescent="0.3">
      <c r="A77" s="9"/>
      <c r="B77" s="57"/>
      <c r="C77" s="81"/>
      <c r="D77" s="81"/>
    </row>
    <row r="78" spans="1:6" ht="15.75" customHeight="1" x14ac:dyDescent="0.3">
      <c r="A78" s="9"/>
      <c r="B78" s="57"/>
      <c r="C78" s="82"/>
      <c r="D78" s="82"/>
    </row>
    <row r="79" spans="1:6" ht="15.75" customHeight="1" x14ac:dyDescent="0.3">
      <c r="A79" s="9"/>
      <c r="B79" s="57"/>
      <c r="C79" s="81"/>
      <c r="D79" s="81"/>
    </row>
    <row r="80" spans="1:6" ht="15.75" customHeight="1" x14ac:dyDescent="0.3">
      <c r="A80" s="9"/>
      <c r="B80" s="57"/>
      <c r="C80" s="82"/>
      <c r="D80" s="82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6" priority="1">
      <formula>$D$50="No"</formula>
    </cfRule>
  </conditionalFormatting>
  <conditionalFormatting sqref="D42:M46 C7:M35">
    <cfRule type="containsBlanks" dxfId="5" priority="2">
      <formula>LEN(TRIM(C7))=0</formula>
    </cfRule>
  </conditionalFormatting>
  <conditionalFormatting sqref="D17:M18">
    <cfRule type="containsBlanks" dxfId="4" priority="3">
      <formula>LEN(TRIM(D17))=0</formula>
    </cfRule>
  </conditionalFormatting>
  <conditionalFormatting sqref="C37:M40">
    <cfRule type="containsBlanks" dxfId="3" priority="4">
      <formula>LEN(TRIM(C37))=0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0" xr:uid="{00000000-0002-0000-0100-000003000000}">
      <formula1>"Yes,No"</formula1>
    </dataValidation>
  </dataValidations>
  <hyperlinks>
    <hyperlink ref="F49" r:id="rId1" xr:uid="{3715D1BE-6062-4B03-8547-E8B4F4F81508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1"/>
  <sheetViews>
    <sheetView showGridLines="0" tabSelected="1" topLeftCell="A19" workbookViewId="0">
      <selection activeCell="D26" sqref="D26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352" t="s">
        <v>111</v>
      </c>
      <c r="C2" s="352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355</v>
      </c>
      <c r="C3" s="6"/>
      <c r="D3" s="359">
        <v>128099808</v>
      </c>
      <c r="E3" s="197" t="str">
        <f>IF((C46-I46)=D3,"", "Error!")</f>
        <v/>
      </c>
      <c r="F3" s="6"/>
      <c r="G3" s="6"/>
      <c r="H3" s="360" t="s">
        <v>356</v>
      </c>
      <c r="I3" s="363">
        <v>113579020</v>
      </c>
    </row>
    <row r="4" spans="1:10" ht="15" customHeight="1" x14ac:dyDescent="0.3">
      <c r="B4" s="5" t="s">
        <v>302</v>
      </c>
      <c r="C4" s="6"/>
      <c r="D4" s="364">
        <f>D3-I3</f>
        <v>14520788</v>
      </c>
      <c r="E4" s="191"/>
      <c r="F4" s="6"/>
      <c r="G4" s="6"/>
      <c r="H4" s="85" t="s">
        <v>112</v>
      </c>
      <c r="I4" s="122">
        <f>(I3*Dashboard!I12*Data!C4)/Dashboard!I5</f>
        <v>78.259657658572991</v>
      </c>
    </row>
    <row r="5" spans="1:10" ht="15" customHeight="1" x14ac:dyDescent="0.3">
      <c r="D5" s="6"/>
      <c r="E5" s="24" t="s">
        <v>113</v>
      </c>
      <c r="I5" s="6"/>
    </row>
    <row r="6" spans="1:10" ht="15" customHeight="1" x14ac:dyDescent="0.3">
      <c r="B6" s="83" t="s">
        <v>114</v>
      </c>
      <c r="C6" s="6"/>
      <c r="D6" s="84">
        <f>E46-I46-E50</f>
        <v>26806590.300000012</v>
      </c>
      <c r="E6" s="14">
        <f>1-D6/D3</f>
        <v>0.79073668635006844</v>
      </c>
      <c r="F6" s="6"/>
      <c r="G6" s="6"/>
      <c r="H6" s="85" t="s">
        <v>115</v>
      </c>
      <c r="I6" s="28">
        <f>IF(Data!F3&lt;=0,"NNI",D7/((Data!F3*Dashboard!I12)/(Dashboard!I5/Data!C4)))</f>
        <v>2.5880055833113147</v>
      </c>
      <c r="J6" s="6"/>
    </row>
    <row r="7" spans="1:10" ht="15" customHeight="1" x14ac:dyDescent="0.3">
      <c r="B7" s="57" t="s">
        <v>116</v>
      </c>
      <c r="D7" s="86">
        <f>MAX((D6*Dashboard!I12*Data!C4)/Dashboard!I5, 0)</f>
        <v>18.470617019513149</v>
      </c>
      <c r="E7" s="87"/>
      <c r="H7" s="85" t="s">
        <v>117</v>
      </c>
      <c r="I7" s="28">
        <f>D7/(Data!C28*Dashboard!I12*Data!C4/Common_Shares)</f>
        <v>0.20926331364993156</v>
      </c>
      <c r="J7" s="6"/>
    </row>
    <row r="8" spans="1:10" ht="15" customHeight="1" x14ac:dyDescent="0.3">
      <c r="D8" s="6"/>
      <c r="I8" s="6"/>
    </row>
    <row r="9" spans="1:10" ht="15" customHeight="1" x14ac:dyDescent="0.3">
      <c r="A9" s="4"/>
      <c r="B9" s="353" t="s">
        <v>351</v>
      </c>
      <c r="C9" s="330"/>
      <c r="D9" s="357">
        <v>44742</v>
      </c>
      <c r="E9" s="354" t="str">
        <f>IF(D9=Data!C3,"FY","Quarter")</f>
        <v>Quarter</v>
      </c>
      <c r="F9" s="170"/>
      <c r="G9" s="170"/>
      <c r="H9" s="170"/>
      <c r="I9" s="170"/>
    </row>
    <row r="10" spans="1:10" ht="15" customHeight="1" x14ac:dyDescent="0.3">
      <c r="B10" s="5" t="s">
        <v>118</v>
      </c>
      <c r="C10" s="24" t="s">
        <v>119</v>
      </c>
      <c r="D10" s="24" t="s">
        <v>120</v>
      </c>
      <c r="E10" s="24" t="s">
        <v>121</v>
      </c>
      <c r="G10" s="6"/>
      <c r="H10" s="88" t="s">
        <v>122</v>
      </c>
      <c r="I10" s="24" t="s">
        <v>119</v>
      </c>
    </row>
    <row r="11" spans="1:10" ht="15" customHeight="1" x14ac:dyDescent="0.3">
      <c r="B11" s="5" t="s">
        <v>123</v>
      </c>
      <c r="C11" s="89">
        <v>16946370</v>
      </c>
      <c r="D11" s="90">
        <v>1</v>
      </c>
      <c r="E11" s="29">
        <f t="shared" ref="E11:E21" si="0">C11*D11</f>
        <v>16946370</v>
      </c>
      <c r="F11" s="6"/>
      <c r="G11" s="6"/>
      <c r="H11" s="5" t="s">
        <v>124</v>
      </c>
      <c r="I11" s="89">
        <v>2253528</v>
      </c>
      <c r="J11" s="6"/>
    </row>
    <row r="12" spans="1:10" ht="14" x14ac:dyDescent="0.3">
      <c r="B12" s="3" t="s">
        <v>125</v>
      </c>
      <c r="C12" s="89">
        <v>0</v>
      </c>
      <c r="D12" s="90">
        <v>0.98</v>
      </c>
      <c r="E12" s="29">
        <f t="shared" si="0"/>
        <v>0</v>
      </c>
      <c r="F12" s="6"/>
      <c r="G12" s="6"/>
      <c r="H12" s="5" t="s">
        <v>126</v>
      </c>
      <c r="I12" s="89">
        <v>31180.352999999999</v>
      </c>
      <c r="J12" s="6"/>
    </row>
    <row r="13" spans="1:10" ht="14" x14ac:dyDescent="0.3">
      <c r="B13" s="5" t="s">
        <v>127</v>
      </c>
      <c r="C13" s="89">
        <v>0</v>
      </c>
      <c r="D13" s="90">
        <v>1</v>
      </c>
      <c r="E13" s="29">
        <f t="shared" si="0"/>
        <v>0</v>
      </c>
      <c r="F13" s="6"/>
      <c r="G13" s="6"/>
      <c r="H13" s="5" t="s">
        <v>128</v>
      </c>
      <c r="I13" s="89">
        <v>861793.34100000001</v>
      </c>
      <c r="J13" s="6"/>
    </row>
    <row r="14" spans="1:10" ht="14" x14ac:dyDescent="0.3">
      <c r="B14" s="5" t="s">
        <v>129</v>
      </c>
      <c r="C14" s="89">
        <v>0</v>
      </c>
      <c r="D14" s="90">
        <v>0.8</v>
      </c>
      <c r="E14" s="29">
        <f t="shared" si="0"/>
        <v>0</v>
      </c>
      <c r="F14" s="6"/>
      <c r="G14" s="6"/>
      <c r="H14" s="3" t="s">
        <v>130</v>
      </c>
      <c r="I14" s="89">
        <v>0</v>
      </c>
      <c r="J14" s="6"/>
    </row>
    <row r="15" spans="1:10" ht="14" x14ac:dyDescent="0.3">
      <c r="B15" s="5" t="s">
        <v>131</v>
      </c>
      <c r="C15" s="89">
        <v>0</v>
      </c>
      <c r="D15" s="90">
        <v>0.8</v>
      </c>
      <c r="E15" s="29">
        <f t="shared" si="0"/>
        <v>0</v>
      </c>
      <c r="F15" s="6"/>
      <c r="G15" s="6"/>
      <c r="H15" s="5" t="s">
        <v>132</v>
      </c>
      <c r="I15" s="196">
        <f>I26-SUM(I11:I14)</f>
        <v>16921980.306000002</v>
      </c>
      <c r="J15" s="6"/>
    </row>
    <row r="16" spans="1:10" ht="14" x14ac:dyDescent="0.3">
      <c r="B16" s="3" t="s">
        <v>130</v>
      </c>
      <c r="C16" s="89">
        <v>0</v>
      </c>
      <c r="D16" s="90">
        <v>0.5</v>
      </c>
      <c r="E16" s="29">
        <f t="shared" si="0"/>
        <v>0</v>
      </c>
      <c r="F16" s="6"/>
      <c r="G16" s="6"/>
      <c r="H16" s="5"/>
      <c r="I16" s="195"/>
      <c r="J16" s="6"/>
    </row>
    <row r="17" spans="2:10" ht="14" x14ac:dyDescent="0.3">
      <c r="B17" s="5" t="s">
        <v>133</v>
      </c>
      <c r="C17" s="89">
        <v>2617395</v>
      </c>
      <c r="D17" s="90">
        <v>0.5</v>
      </c>
      <c r="E17" s="29">
        <f t="shared" si="0"/>
        <v>1308697.5</v>
      </c>
      <c r="F17" s="6"/>
      <c r="G17" s="6"/>
      <c r="H17" s="5"/>
      <c r="I17" s="195"/>
      <c r="J17" s="6"/>
    </row>
    <row r="18" spans="2:10" ht="14" x14ac:dyDescent="0.3">
      <c r="B18" s="5" t="s">
        <v>134</v>
      </c>
      <c r="C18" s="89">
        <v>0</v>
      </c>
      <c r="D18" s="90">
        <v>0.5</v>
      </c>
      <c r="E18" s="29">
        <f t="shared" si="0"/>
        <v>0</v>
      </c>
      <c r="F18" s="32" t="s">
        <v>320</v>
      </c>
      <c r="G18" s="6"/>
    </row>
    <row r="19" spans="2:10" ht="14" x14ac:dyDescent="0.3">
      <c r="B19" s="3" t="s">
        <v>135</v>
      </c>
      <c r="C19" s="89">
        <v>17196881</v>
      </c>
      <c r="D19" s="90">
        <v>0.65</v>
      </c>
      <c r="E19" s="29">
        <f t="shared" si="0"/>
        <v>11177972.65</v>
      </c>
      <c r="F19" s="258" t="s">
        <v>321</v>
      </c>
      <c r="G19" s="125">
        <f>IF(F19="Y",0,1)</f>
        <v>0</v>
      </c>
      <c r="H19" s="5"/>
      <c r="I19" s="195"/>
    </row>
    <row r="20" spans="2:10" ht="14" x14ac:dyDescent="0.3">
      <c r="B20" s="5" t="s">
        <v>136</v>
      </c>
      <c r="C20" s="89">
        <v>20570771</v>
      </c>
      <c r="D20" s="90">
        <v>0.5</v>
      </c>
      <c r="E20" s="29">
        <f t="shared" si="0"/>
        <v>10285385.5</v>
      </c>
      <c r="F20" s="258" t="s">
        <v>321</v>
      </c>
      <c r="G20" s="125">
        <f>IF(F20="Y",0,1)</f>
        <v>0</v>
      </c>
      <c r="H20" s="5"/>
      <c r="I20" s="195"/>
    </row>
    <row r="21" spans="2:10" ht="14" x14ac:dyDescent="0.3">
      <c r="B21" s="5" t="s">
        <v>137</v>
      </c>
      <c r="C21" s="89">
        <v>634405</v>
      </c>
      <c r="D21" s="90">
        <v>0.95</v>
      </c>
      <c r="E21" s="29">
        <f t="shared" si="0"/>
        <v>602684.75</v>
      </c>
      <c r="F21" s="6"/>
      <c r="G21" s="6"/>
      <c r="H21" s="5"/>
      <c r="I21" s="195"/>
    </row>
    <row r="22" spans="2:10" ht="15" customHeight="1" x14ac:dyDescent="0.3">
      <c r="B22" s="5" t="s">
        <v>138</v>
      </c>
      <c r="C22" s="89">
        <v>0</v>
      </c>
      <c r="D22" s="90">
        <v>0</v>
      </c>
      <c r="E22" s="29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91" t="s">
        <v>139</v>
      </c>
      <c r="C24" s="95">
        <f>SUM(C11:C14)</f>
        <v>16946370</v>
      </c>
      <c r="D24" s="93">
        <f>IF(E24=0,0,E24/C24)</f>
        <v>1</v>
      </c>
      <c r="E24" s="29">
        <f>SUM(E11:E14)</f>
        <v>16946370</v>
      </c>
      <c r="F24" s="6"/>
      <c r="G24" s="6"/>
      <c r="H24" s="91" t="s">
        <v>140</v>
      </c>
      <c r="I24" s="94">
        <f>E24/($I$26-I13)</f>
        <v>0.88231606711962574</v>
      </c>
      <c r="J24" s="13" t="str">
        <f>IF(I24&lt;1,"Liquidity Problem!","")</f>
        <v>Liquidity Problem!</v>
      </c>
    </row>
    <row r="25" spans="2:10" ht="15" customHeight="1" x14ac:dyDescent="0.3">
      <c r="B25" s="91" t="s">
        <v>141</v>
      </c>
      <c r="C25" s="95">
        <f>C24+SUM(C15:C17)</f>
        <v>19563765</v>
      </c>
      <c r="D25" s="93">
        <f>IF(E25=0,0,E25/C25)</f>
        <v>0.93310605090584553</v>
      </c>
      <c r="E25" s="29">
        <f>E24+SUM(E15:E17)</f>
        <v>18255067.5</v>
      </c>
      <c r="F25" s="6"/>
      <c r="G25" s="6"/>
      <c r="H25" s="91" t="s">
        <v>142</v>
      </c>
      <c r="I25" s="94">
        <f>E25/$I$26</f>
        <v>0.90963868119173141</v>
      </c>
      <c r="J25" s="13"/>
    </row>
    <row r="26" spans="2:10" ht="15" customHeight="1" x14ac:dyDescent="0.3">
      <c r="B26" s="5" t="s">
        <v>143</v>
      </c>
      <c r="C26" s="95">
        <f>SUM(C11:C22)</f>
        <v>57965822</v>
      </c>
      <c r="D26" s="14">
        <f t="shared" ref="D24:D26" si="2">E26/C26</f>
        <v>0.69560145977055232</v>
      </c>
      <c r="E26" s="29">
        <f>SUM(E11:E22)</f>
        <v>40321110.399999999</v>
      </c>
      <c r="H26" s="5" t="s">
        <v>61</v>
      </c>
      <c r="I26" s="89">
        <v>20068482</v>
      </c>
    </row>
    <row r="27" spans="2:10" ht="15" customHeight="1" x14ac:dyDescent="0.3">
      <c r="C27" s="6"/>
      <c r="D27" s="6"/>
      <c r="E27" s="6"/>
      <c r="F27" s="6"/>
      <c r="G27" s="6"/>
      <c r="I27" s="6"/>
      <c r="J27" s="6"/>
    </row>
    <row r="28" spans="2:10" ht="15" customHeight="1" x14ac:dyDescent="0.3">
      <c r="B28" s="5" t="s">
        <v>144</v>
      </c>
      <c r="C28" s="89">
        <v>0</v>
      </c>
      <c r="D28" s="90">
        <v>0.95</v>
      </c>
      <c r="E28" s="29">
        <v>0</v>
      </c>
      <c r="F28" s="6"/>
      <c r="G28" s="6"/>
      <c r="H28" s="5" t="s">
        <v>145</v>
      </c>
      <c r="I28" s="89">
        <f>996632.901+1804212.761+142405.676</f>
        <v>2943251.338</v>
      </c>
      <c r="J28" s="6"/>
    </row>
    <row r="29" spans="2:10" ht="15" customHeight="1" x14ac:dyDescent="0.3">
      <c r="B29" s="5" t="s">
        <v>146</v>
      </c>
      <c r="C29" s="89">
        <v>2179420</v>
      </c>
      <c r="D29" s="90">
        <v>0.6</v>
      </c>
      <c r="E29" s="29">
        <f t="shared" ref="E29:E40" si="3">C29*D29</f>
        <v>1307652</v>
      </c>
      <c r="F29" s="6"/>
      <c r="G29" s="6"/>
      <c r="H29" s="5" t="s">
        <v>147</v>
      </c>
      <c r="I29" s="89">
        <v>13550.745000000001</v>
      </c>
      <c r="J29" s="6"/>
    </row>
    <row r="30" spans="2:10" ht="15" customHeight="1" x14ac:dyDescent="0.3">
      <c r="B30" s="5" t="s">
        <v>148</v>
      </c>
      <c r="C30" s="89">
        <v>608531</v>
      </c>
      <c r="D30" s="90">
        <v>0</v>
      </c>
      <c r="E30" s="29">
        <f t="shared" si="3"/>
        <v>0</v>
      </c>
      <c r="F30" s="6"/>
      <c r="G30" s="6"/>
      <c r="H30" s="5" t="s">
        <v>150</v>
      </c>
      <c r="I30" s="89">
        <v>0</v>
      </c>
      <c r="J30" s="6"/>
    </row>
    <row r="31" spans="2:10" ht="14" x14ac:dyDescent="0.3">
      <c r="B31" s="3" t="s">
        <v>149</v>
      </c>
      <c r="C31" s="89">
        <v>0</v>
      </c>
      <c r="D31" s="90">
        <v>0.3</v>
      </c>
      <c r="E31" s="29">
        <f t="shared" si="3"/>
        <v>0</v>
      </c>
      <c r="F31" s="6"/>
      <c r="G31" s="6"/>
      <c r="H31" s="3" t="s">
        <v>149</v>
      </c>
      <c r="I31" s="89">
        <v>0</v>
      </c>
      <c r="J31" s="6"/>
    </row>
    <row r="32" spans="2:10" ht="14" x14ac:dyDescent="0.3">
      <c r="B32" s="5" t="s">
        <v>151</v>
      </c>
      <c r="C32" s="89">
        <v>1107494</v>
      </c>
      <c r="D32" s="90">
        <v>0.4</v>
      </c>
      <c r="E32" s="29">
        <f t="shared" si="3"/>
        <v>442997.60000000003</v>
      </c>
      <c r="F32" s="32" t="s">
        <v>320</v>
      </c>
      <c r="G32" s="6"/>
      <c r="H32" s="5" t="s">
        <v>152</v>
      </c>
      <c r="I32" s="196">
        <f>I42-SUM(I28:I31)</f>
        <v>64065728.917000003</v>
      </c>
      <c r="J32" s="6"/>
    </row>
    <row r="33" spans="2:10" ht="14" x14ac:dyDescent="0.3">
      <c r="B33" s="5" t="s">
        <v>153</v>
      </c>
      <c r="C33" s="89">
        <v>27509451</v>
      </c>
      <c r="D33" s="90">
        <v>0.5</v>
      </c>
      <c r="E33" s="275">
        <f t="shared" si="3"/>
        <v>13754725.5</v>
      </c>
      <c r="F33" s="258" t="s">
        <v>322</v>
      </c>
      <c r="G33" s="125">
        <f>IF(F33="Y",0,1)</f>
        <v>1</v>
      </c>
      <c r="J33" s="6"/>
    </row>
    <row r="34" spans="2:10" ht="14" x14ac:dyDescent="0.3">
      <c r="B34" s="5" t="s">
        <v>154</v>
      </c>
      <c r="C34" s="89">
        <v>80948092</v>
      </c>
      <c r="D34" s="90">
        <v>0.7</v>
      </c>
      <c r="E34" s="275">
        <f t="shared" si="3"/>
        <v>56663664.399999999</v>
      </c>
      <c r="F34" s="258" t="s">
        <v>321</v>
      </c>
      <c r="G34" s="125">
        <f>IF(F34="Y",0,1)</f>
        <v>0</v>
      </c>
    </row>
    <row r="35" spans="2:10" ht="14" x14ac:dyDescent="0.3">
      <c r="B35" s="3" t="s">
        <v>136</v>
      </c>
      <c r="C35" s="89">
        <v>21257867</v>
      </c>
      <c r="D35" s="90">
        <v>0.4</v>
      </c>
      <c r="E35" s="29">
        <f t="shared" si="3"/>
        <v>8503146.8000000007</v>
      </c>
      <c r="F35" s="258" t="s">
        <v>321</v>
      </c>
      <c r="G35" s="125">
        <f>IF(F35="Y",0,1)</f>
        <v>0</v>
      </c>
    </row>
    <row r="36" spans="2:10" ht="15" customHeight="1" x14ac:dyDescent="0.3">
      <c r="B36" s="5" t="s">
        <v>155</v>
      </c>
      <c r="C36" s="89">
        <v>21664879</v>
      </c>
      <c r="D36" s="90">
        <v>0.3</v>
      </c>
      <c r="E36" s="29">
        <f t="shared" si="3"/>
        <v>6499463.7000000002</v>
      </c>
      <c r="F36" s="6"/>
      <c r="G36" s="6"/>
    </row>
    <row r="37" spans="2:10" ht="14" x14ac:dyDescent="0.3">
      <c r="B37" s="5" t="s">
        <v>156</v>
      </c>
      <c r="C37" s="89">
        <v>1826761</v>
      </c>
      <c r="D37" s="90">
        <v>0.5</v>
      </c>
      <c r="E37" s="29">
        <f t="shared" si="3"/>
        <v>913380.5</v>
      </c>
      <c r="F37" s="6"/>
      <c r="G37" s="6"/>
    </row>
    <row r="38" spans="2:10" ht="15" customHeight="1" x14ac:dyDescent="0.3">
      <c r="B38" s="5" t="s">
        <v>157</v>
      </c>
      <c r="C38" s="89">
        <v>122504</v>
      </c>
      <c r="D38" s="90">
        <v>0.1</v>
      </c>
      <c r="E38" s="29">
        <f t="shared" si="3"/>
        <v>12250.400000000001</v>
      </c>
      <c r="F38" s="6"/>
      <c r="G38" s="6"/>
    </row>
    <row r="39" spans="2:10" ht="15" customHeight="1" x14ac:dyDescent="0.3">
      <c r="B39" s="5" t="s">
        <v>158</v>
      </c>
      <c r="C39" s="89">
        <v>0</v>
      </c>
      <c r="D39" s="90">
        <v>0.95</v>
      </c>
      <c r="E39" s="29">
        <f t="shared" si="3"/>
        <v>0</v>
      </c>
      <c r="F39" s="6"/>
      <c r="G39" s="6"/>
    </row>
    <row r="40" spans="2:10" ht="15" customHeight="1" x14ac:dyDescent="0.3">
      <c r="B40" s="5" t="s">
        <v>159</v>
      </c>
      <c r="C40" s="89">
        <v>0</v>
      </c>
      <c r="D40" s="90">
        <v>0</v>
      </c>
      <c r="E40" s="29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160</v>
      </c>
      <c r="C42" s="92">
        <f>SUM(C28:C40)</f>
        <v>157224999</v>
      </c>
      <c r="D42" s="14">
        <f>E42/C42</f>
        <v>0.56032616606981189</v>
      </c>
      <c r="E42" s="29">
        <f>SUM(E28:E40)</f>
        <v>88097280.900000006</v>
      </c>
      <c r="F42" s="6"/>
      <c r="G42" s="6"/>
      <c r="H42" s="5" t="s">
        <v>161</v>
      </c>
      <c r="I42" s="89"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91" t="s">
        <v>162</v>
      </c>
      <c r="C44" s="95">
        <f>C24+SUM(C28:C29)</f>
        <v>19125790</v>
      </c>
      <c r="D44" s="93">
        <f>IF(E44=0,0,E44/C44)</f>
        <v>0.95441924229012243</v>
      </c>
      <c r="E44" s="29">
        <f>E24+SUM(E28:E29)</f>
        <v>18254022</v>
      </c>
      <c r="F44" s="6"/>
      <c r="G44" s="6"/>
      <c r="H44" s="91" t="s">
        <v>163</v>
      </c>
      <c r="I44" s="94">
        <f>E44/$I$46</f>
        <v>0.20959707978135469</v>
      </c>
      <c r="J44" s="13" t="str">
        <f>IF(I44&lt;1,"Liquidity Problem!","")</f>
        <v>Liquidity Problem!</v>
      </c>
    </row>
    <row r="45" spans="2:10" ht="15" customHeight="1" x14ac:dyDescent="0.3">
      <c r="B45" s="91" t="s">
        <v>164</v>
      </c>
      <c r="C45" s="95">
        <f>C44+(C25-C24)+SUM(C30:C33)</f>
        <v>50968661</v>
      </c>
      <c r="D45" s="93">
        <f>IF(E45=0,0,E45/C45)</f>
        <v>0.66237648660222803</v>
      </c>
      <c r="E45" s="29">
        <f>E44+(E25-E24)+SUM(E30:E33)</f>
        <v>33760442.600000001</v>
      </c>
      <c r="F45" s="6"/>
      <c r="G45" s="6"/>
      <c r="H45" s="91" t="s">
        <v>165</v>
      </c>
      <c r="I45" s="94">
        <f>E45/$I$46</f>
        <v>0.38764553812228597</v>
      </c>
      <c r="J45" s="6"/>
    </row>
    <row r="46" spans="2:10" ht="15" customHeight="1" x14ac:dyDescent="0.3">
      <c r="B46" s="5" t="s">
        <v>166</v>
      </c>
      <c r="C46" s="95">
        <f>C26+C42</f>
        <v>215190821</v>
      </c>
      <c r="D46" s="14">
        <f>E46/C46</f>
        <v>0.59676519055615296</v>
      </c>
      <c r="E46" s="29">
        <f>E26+E42</f>
        <v>128418391.30000001</v>
      </c>
      <c r="F46" s="6"/>
      <c r="G46" s="6"/>
      <c r="H46" s="5" t="s">
        <v>167</v>
      </c>
      <c r="I46" s="196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2" t="s">
        <v>168</v>
      </c>
      <c r="C48" s="22"/>
      <c r="D48" s="56"/>
    </row>
    <row r="49" spans="2:9" ht="14" x14ac:dyDescent="0.3">
      <c r="B49" s="271" t="s">
        <v>281</v>
      </c>
      <c r="C49" s="6"/>
      <c r="D49" s="272" t="str">
        <f>IF(E50=D4,"BV of the MI","P/B Approach")</f>
        <v>BV of the MI</v>
      </c>
      <c r="E49" s="6"/>
    </row>
    <row r="50" spans="2:9" ht="14" x14ac:dyDescent="0.3">
      <c r="B50" s="5" t="s">
        <v>280</v>
      </c>
      <c r="C50" s="273">
        <f>D4</f>
        <v>14520788</v>
      </c>
      <c r="D50" s="269">
        <f>IF(E50=0, 0,E50/C50)</f>
        <v>1</v>
      </c>
      <c r="E50" s="273">
        <f>MAX(C50,C50*Dashboard!I10)</f>
        <v>14520788</v>
      </c>
      <c r="I50" s="198"/>
    </row>
    <row r="51" spans="2:9" ht="15" customHeight="1" x14ac:dyDescent="0.3">
      <c r="C51" s="6"/>
      <c r="D51" s="6"/>
      <c r="E51" s="6"/>
    </row>
    <row r="52" spans="2:9" ht="14" x14ac:dyDescent="0.3">
      <c r="B52" s="100" t="s">
        <v>313</v>
      </c>
      <c r="C52" s="5"/>
      <c r="D52" s="367">
        <f>D53+D54+D55</f>
        <v>6103303.7770000007</v>
      </c>
      <c r="E52" s="444"/>
      <c r="F52" s="57"/>
      <c r="G52" s="57"/>
    </row>
    <row r="53" spans="2:9" ht="14" x14ac:dyDescent="0.3">
      <c r="B53" s="83" t="s">
        <v>314</v>
      </c>
      <c r="C53" s="6"/>
      <c r="D53" s="367">
        <f>SUM(I11:I13)+SUM(I28:I30)</f>
        <v>6103303.7770000007</v>
      </c>
      <c r="E53" s="444"/>
      <c r="F53" s="5"/>
      <c r="G53" s="5"/>
    </row>
    <row r="54" spans="2:9" ht="14" x14ac:dyDescent="0.3">
      <c r="B54" s="83" t="s">
        <v>170</v>
      </c>
      <c r="C54" s="6"/>
      <c r="D54" s="443">
        <v>0</v>
      </c>
      <c r="E54" s="379"/>
      <c r="F54" s="6" t="s">
        <v>171</v>
      </c>
      <c r="G54" s="6"/>
    </row>
    <row r="55" spans="2:9" ht="12.75" customHeight="1" x14ac:dyDescent="0.3">
      <c r="B55" s="83" t="s">
        <v>169</v>
      </c>
      <c r="C55" s="6"/>
      <c r="D55" s="443">
        <v>0</v>
      </c>
      <c r="E55" s="379"/>
      <c r="F55" s="5" t="s">
        <v>172</v>
      </c>
      <c r="G55" s="5"/>
    </row>
    <row r="56" spans="2:9" ht="15" customHeight="1" x14ac:dyDescent="0.3">
      <c r="D56" s="6"/>
      <c r="E56" s="6"/>
    </row>
    <row r="57" spans="2:9" ht="14" x14ac:dyDescent="0.3">
      <c r="B57" s="100" t="s">
        <v>173</v>
      </c>
      <c r="C57" s="5"/>
      <c r="D57" s="445"/>
      <c r="E57" s="445"/>
      <c r="F57" s="19"/>
      <c r="G57" s="19"/>
    </row>
    <row r="58" spans="2:9" ht="15" customHeight="1" x14ac:dyDescent="0.3">
      <c r="B58" s="57" t="s">
        <v>315</v>
      </c>
      <c r="C58" s="268">
        <f>C14+C15+(C19*G19)+(C20*G20)+C29+C30+(C33*G33)+(C34*G34)+(C35*G35)</f>
        <v>30297402</v>
      </c>
      <c r="D58" s="166">
        <f>IF(E58=0,0,E58/C58)</f>
        <v>0.49715079530581535</v>
      </c>
      <c r="E58" s="276">
        <f>E14+E15+(E19*G19)+(E20*G20)+E29+E30+(E33*G33)+(E34*G34)+(E35*G35)</f>
        <v>15062377.5</v>
      </c>
      <c r="H58" s="6"/>
    </row>
    <row r="59" spans="2:9" ht="14" x14ac:dyDescent="0.3">
      <c r="B59" s="57" t="s">
        <v>123</v>
      </c>
      <c r="C59" s="268">
        <f>C11+C12+C28</f>
        <v>16946370</v>
      </c>
      <c r="D59" s="269">
        <f>IF(E59=0,0,E59/C59)</f>
        <v>1</v>
      </c>
      <c r="E59" s="270">
        <f>E11+E12+E28</f>
        <v>16946370</v>
      </c>
      <c r="F59" s="6"/>
      <c r="G59" s="6"/>
    </row>
    <row r="60" spans="2:9" ht="14" x14ac:dyDescent="0.3">
      <c r="B60" s="57" t="s">
        <v>174</v>
      </c>
      <c r="C60" s="6"/>
      <c r="D60" s="441">
        <f>((Dashboard!I6*Data!C4)+D52+E50-C58-C59)</f>
        <v>2174309.2246799991</v>
      </c>
      <c r="E60" s="442"/>
      <c r="F60" s="6"/>
      <c r="G60" s="6"/>
    </row>
    <row r="61" spans="2:9" ht="15" customHeight="1" x14ac:dyDescent="0.3">
      <c r="D61" s="6"/>
      <c r="E61" s="6"/>
    </row>
  </sheetData>
  <mergeCells count="6">
    <mergeCell ref="D60:E60"/>
    <mergeCell ref="D54:E54"/>
    <mergeCell ref="D55:E55"/>
    <mergeCell ref="D52:E52"/>
    <mergeCell ref="D57:E57"/>
    <mergeCell ref="D53:E53"/>
  </mergeCells>
  <dataValidations disablePrompts="1" count="2">
    <dataValidation allowBlank="1" sqref="D49" xr:uid="{00000000-0002-0000-0200-000000000000}"/>
    <dataValidation type="list" allowBlank="1" showInputMessage="1" showErrorMessage="1" sqref="F33:F35 F19:F20" xr:uid="{DBDA56F9-BDA2-428A-9035-F60711F90E5E}">
      <formula1>"Y,N"</formula1>
    </dataValidation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K908"/>
  <sheetViews>
    <sheetView showGridLines="0" zoomScaleNormal="100" zoomScalePageLayoutView="80" workbookViewId="0">
      <selection activeCell="B37" sqref="B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7.6328125" style="3" customWidth="1"/>
    <col min="7" max="8" width="22.7265625" style="3" customWidth="1"/>
    <col min="9" max="9" width="2.453125" style="3" customWidth="1"/>
    <col min="10" max="10" width="49.81640625" style="3" customWidth="1"/>
    <col min="11" max="16384" width="12.453125" style="3"/>
  </cols>
  <sheetData>
    <row r="1" spans="1:11" ht="15" customHeight="1" x14ac:dyDescent="0.3">
      <c r="C1" s="6"/>
      <c r="D1" s="6"/>
      <c r="E1" s="6"/>
      <c r="F1" s="6"/>
      <c r="G1" s="6"/>
    </row>
    <row r="2" spans="1:11" ht="15.5" customHeight="1" x14ac:dyDescent="0.3">
      <c r="A2" s="4"/>
      <c r="B2" s="123" t="s">
        <v>328</v>
      </c>
      <c r="C2" s="12"/>
      <c r="D2" s="12"/>
      <c r="E2" s="12"/>
      <c r="F2" s="12"/>
      <c r="G2" s="12"/>
      <c r="H2" s="12"/>
      <c r="I2" s="12"/>
      <c r="J2" s="12"/>
    </row>
    <row r="3" spans="1:11" ht="15.75" customHeight="1" x14ac:dyDescent="0.3">
      <c r="B3" s="31" t="str">
        <f>'FCFF Model'!B3</f>
        <v>(Numbers in 1000HKD)</v>
      </c>
      <c r="C3" s="349">
        <f>Data!C3</f>
        <v>44561</v>
      </c>
      <c r="D3" s="30" t="s">
        <v>332</v>
      </c>
      <c r="E3" s="30">
        <v>1</v>
      </c>
      <c r="F3" s="30" t="s">
        <v>332</v>
      </c>
      <c r="G3" s="30" t="str">
        <f>IF(G12="","","2")</f>
        <v/>
      </c>
      <c r="H3" s="30" t="str">
        <f>IF(H19="","","3")</f>
        <v/>
      </c>
      <c r="J3" s="97" t="s">
        <v>175</v>
      </c>
    </row>
    <row r="4" spans="1:11" ht="15.75" customHeight="1" x14ac:dyDescent="0.3">
      <c r="B4" s="17" t="s">
        <v>340</v>
      </c>
      <c r="C4" s="279">
        <v>4053111</v>
      </c>
      <c r="D4" s="338"/>
      <c r="E4" s="278">
        <f>1882783*1.5</f>
        <v>2824174.5</v>
      </c>
      <c r="F4" s="338"/>
      <c r="G4" s="351"/>
      <c r="H4" s="148"/>
      <c r="I4" s="6"/>
      <c r="J4" s="99"/>
      <c r="K4" s="82"/>
    </row>
    <row r="5" spans="1:11" ht="15.75" customHeight="1" x14ac:dyDescent="0.3">
      <c r="B5" s="17" t="s">
        <v>341</v>
      </c>
      <c r="C5" s="279">
        <v>1291010</v>
      </c>
      <c r="D5" s="338"/>
      <c r="E5" s="278">
        <f>619537*1.8</f>
        <v>1115166.6000000001</v>
      </c>
      <c r="F5" s="338"/>
      <c r="G5" s="351"/>
      <c r="H5" s="148"/>
      <c r="I5" s="6"/>
      <c r="J5" s="99"/>
      <c r="K5" s="82"/>
    </row>
    <row r="6" spans="1:11" ht="15.75" customHeight="1" x14ac:dyDescent="0.3">
      <c r="B6" s="350" t="s">
        <v>342</v>
      </c>
      <c r="C6" s="279">
        <f>C4+C5</f>
        <v>5344121</v>
      </c>
      <c r="D6" s="338">
        <f>C6/C$11</f>
        <v>0.34867901665348278</v>
      </c>
      <c r="E6" s="278">
        <f>E4+E5</f>
        <v>3939341.1</v>
      </c>
      <c r="F6" s="338">
        <f>E6/E11</f>
        <v>0.54084868327105462</v>
      </c>
      <c r="G6" s="351"/>
      <c r="H6" s="148"/>
      <c r="I6" s="6"/>
      <c r="J6" s="99"/>
      <c r="K6" s="82"/>
    </row>
    <row r="7" spans="1:11" ht="15.75" customHeight="1" x14ac:dyDescent="0.3">
      <c r="B7" s="17" t="s">
        <v>340</v>
      </c>
      <c r="C7" s="279">
        <v>4584914</v>
      </c>
      <c r="D7" s="338"/>
      <c r="E7" s="278">
        <f>355693*1.5</f>
        <v>533539.5</v>
      </c>
      <c r="F7" s="338"/>
      <c r="G7" s="351"/>
      <c r="H7" s="148"/>
      <c r="I7" s="6"/>
      <c r="J7" s="99"/>
      <c r="K7" s="82"/>
    </row>
    <row r="8" spans="1:11" ht="15.75" customHeight="1" x14ac:dyDescent="0.3">
      <c r="B8" s="17" t="s">
        <v>341</v>
      </c>
      <c r="C8" s="279">
        <v>3786145</v>
      </c>
      <c r="D8" s="338"/>
      <c r="E8" s="278">
        <f>1358253*1.6</f>
        <v>2173204.8000000003</v>
      </c>
      <c r="F8" s="338"/>
      <c r="G8" s="351"/>
      <c r="H8" s="148"/>
      <c r="I8" s="6"/>
      <c r="J8" s="99"/>
      <c r="K8" s="82"/>
    </row>
    <row r="9" spans="1:11" ht="15.75" customHeight="1" x14ac:dyDescent="0.3">
      <c r="B9" s="350" t="s">
        <v>343</v>
      </c>
      <c r="C9" s="279">
        <f>C7+C8</f>
        <v>8371059</v>
      </c>
      <c r="D9" s="338">
        <f>C9/C$11</f>
        <v>0.54617262978669212</v>
      </c>
      <c r="E9" s="278">
        <f>E7+E8</f>
        <v>2706744.3000000003</v>
      </c>
      <c r="F9" s="338">
        <f>E9/E11</f>
        <v>0.37162029218704429</v>
      </c>
      <c r="G9" s="351"/>
      <c r="H9" s="148"/>
      <c r="I9" s="6"/>
      <c r="J9" s="99"/>
      <c r="K9" s="82"/>
    </row>
    <row r="10" spans="1:11" ht="15.75" customHeight="1" x14ac:dyDescent="0.3">
      <c r="B10" s="350" t="s">
        <v>344</v>
      </c>
      <c r="C10" s="279">
        <v>1611584</v>
      </c>
      <c r="D10" s="338">
        <f>C10/C$11</f>
        <v>0.10514835355982516</v>
      </c>
      <c r="E10" s="278">
        <f>425029*1.5</f>
        <v>637543.5</v>
      </c>
      <c r="F10" s="338">
        <f>E10/E11</f>
        <v>8.7531024541901079E-2</v>
      </c>
      <c r="G10" s="351"/>
      <c r="H10" s="148"/>
      <c r="I10" s="6"/>
      <c r="J10" s="99"/>
      <c r="K10" s="82"/>
    </row>
    <row r="11" spans="1:11" ht="15.75" customHeight="1" x14ac:dyDescent="0.3">
      <c r="B11" s="5" t="s">
        <v>177</v>
      </c>
      <c r="C11" s="223">
        <f>C6+C9+C10</f>
        <v>15326764</v>
      </c>
      <c r="D11" s="337"/>
      <c r="E11" s="287">
        <f>E6+E9+E10</f>
        <v>7283628.9000000004</v>
      </c>
      <c r="F11" s="337"/>
      <c r="G11" s="288" t="str">
        <f>IF(G12="","",E11*(1+G12))</f>
        <v/>
      </c>
      <c r="H11" s="148"/>
      <c r="I11" s="6"/>
      <c r="J11" s="99"/>
      <c r="K11" s="82"/>
    </row>
    <row r="12" spans="1:11" ht="15.75" customHeight="1" x14ac:dyDescent="0.3">
      <c r="B12" s="17" t="s">
        <v>176</v>
      </c>
      <c r="C12" s="230"/>
      <c r="D12" s="339"/>
      <c r="E12" s="18">
        <f>E11/C11-1</f>
        <v>-0.52477712190257508</v>
      </c>
      <c r="F12" s="339"/>
      <c r="G12" s="277"/>
      <c r="H12" s="148"/>
      <c r="I12" s="6"/>
      <c r="J12" s="99"/>
      <c r="K12" s="82"/>
    </row>
    <row r="13" spans="1:11" ht="15.75" customHeight="1" x14ac:dyDescent="0.3">
      <c r="B13" s="8" t="s">
        <v>178</v>
      </c>
      <c r="C13" s="224">
        <f>Data!C9</f>
        <v>6583757</v>
      </c>
      <c r="D13" s="340"/>
      <c r="E13" s="284">
        <f>2094072*1.8</f>
        <v>3769329.6</v>
      </c>
      <c r="F13" s="340"/>
      <c r="G13" s="285" t="str">
        <f>IF(G12="","",G11*(1-G14))</f>
        <v/>
      </c>
      <c r="H13" s="148"/>
      <c r="I13" s="6"/>
      <c r="J13" s="149"/>
      <c r="K13" s="1"/>
    </row>
    <row r="14" spans="1:11" ht="15.75" customHeight="1" x14ac:dyDescent="0.3">
      <c r="B14" s="17" t="s">
        <v>50</v>
      </c>
      <c r="C14" s="229">
        <f>(C11-C13)/C11</f>
        <v>0.57044050524950995</v>
      </c>
      <c r="D14" s="229"/>
      <c r="E14" s="98">
        <f>(E11-E13)/E11</f>
        <v>0.4824929095440324</v>
      </c>
      <c r="F14" s="229"/>
      <c r="G14" s="98"/>
      <c r="H14" s="150"/>
      <c r="I14" s="6"/>
      <c r="J14" s="99"/>
    </row>
    <row r="15" spans="1:11" ht="15.75" customHeight="1" x14ac:dyDescent="0.3">
      <c r="B15" s="5" t="s">
        <v>179</v>
      </c>
      <c r="C15" s="29">
        <f>C11-C13</f>
        <v>8743007</v>
      </c>
      <c r="D15" s="29"/>
      <c r="E15" s="29">
        <f>E11-E13</f>
        <v>3514299.3000000003</v>
      </c>
      <c r="F15" s="29"/>
      <c r="G15" s="29" t="str">
        <f>IF(G12="","",G11-G13)</f>
        <v/>
      </c>
      <c r="H15" s="151"/>
      <c r="I15" s="6"/>
      <c r="J15" s="99"/>
    </row>
    <row r="16" spans="1:11" ht="15.75" customHeight="1" x14ac:dyDescent="0.3">
      <c r="B16" s="17" t="s">
        <v>52</v>
      </c>
      <c r="C16" s="234">
        <f>C17/C11</f>
        <v>0.13070880454608683</v>
      </c>
      <c r="D16" s="234"/>
      <c r="E16" s="283">
        <f>E17/E11</f>
        <v>0.2318067028373727</v>
      </c>
      <c r="F16" s="234"/>
      <c r="G16" s="101"/>
      <c r="H16" s="150"/>
      <c r="I16" s="6"/>
      <c r="J16" s="99"/>
    </row>
    <row r="17" spans="2:11" ht="15.75" customHeight="1" x14ac:dyDescent="0.3">
      <c r="B17" s="8" t="s">
        <v>180</v>
      </c>
      <c r="C17" s="226">
        <v>2003343</v>
      </c>
      <c r="D17" s="341"/>
      <c r="E17" s="102">
        <f>844197*2</f>
        <v>1688394</v>
      </c>
      <c r="F17" s="341"/>
      <c r="G17" s="286" t="str">
        <f>IF(G12="","",G11*G16)</f>
        <v/>
      </c>
      <c r="H17" s="151"/>
      <c r="I17" s="6"/>
      <c r="J17" s="99"/>
    </row>
    <row r="18" spans="2:11" ht="15.75" customHeight="1" x14ac:dyDescent="0.3">
      <c r="B18" s="17" t="s">
        <v>53</v>
      </c>
      <c r="C18" s="18">
        <f>C20/C11</f>
        <v>0.4397317007034231</v>
      </c>
      <c r="D18" s="18"/>
      <c r="E18" s="18">
        <f>E20/E11</f>
        <v>0.25068620670665964</v>
      </c>
      <c r="F18" s="18"/>
      <c r="G18" s="18" t="str">
        <f>IF(G12="","",G20/G11)</f>
        <v/>
      </c>
      <c r="H18" s="152"/>
      <c r="I18" s="6"/>
      <c r="J18" s="99"/>
      <c r="K18" s="82"/>
    </row>
    <row r="19" spans="2:11" ht="15.75" customHeight="1" x14ac:dyDescent="0.3">
      <c r="B19" s="17" t="s">
        <v>181</v>
      </c>
      <c r="C19" s="231"/>
      <c r="D19" s="342"/>
      <c r="E19" s="14">
        <f>IF(ABS(C20+E20)=ABS(C20)+ABS(E20),IF(E20&lt;0,-1,1)*(E20-C20)/C20,"Turn")</f>
        <v>-0.72908066336838151</v>
      </c>
      <c r="F19" s="342"/>
      <c r="G19" s="14" t="str">
        <f>IF(G12="","",IF(ABS(E20+G20)=ABS(E20)+ABS(G20),IF(G20&lt;0,-1,1)*(G20-E20)/E20,"Turn"))</f>
        <v/>
      </c>
      <c r="H19" s="247"/>
      <c r="I19" s="6"/>
      <c r="J19" s="104"/>
      <c r="K19" s="105"/>
    </row>
    <row r="20" spans="2:11" ht="15.75" customHeight="1" thickBot="1" x14ac:dyDescent="0.35">
      <c r="B20" s="171" t="s">
        <v>325</v>
      </c>
      <c r="C20" s="289">
        <f>C15-C17</f>
        <v>6739664</v>
      </c>
      <c r="D20" s="343"/>
      <c r="E20" s="289">
        <f>E15-E17</f>
        <v>1825905.3000000003</v>
      </c>
      <c r="F20" s="343"/>
      <c r="G20" s="289" t="str">
        <f>IF(G12="","",G15-G17)</f>
        <v/>
      </c>
      <c r="H20" s="290" t="str">
        <f>IF(H19="","",G20*(1+H19))</f>
        <v/>
      </c>
      <c r="I20" s="6"/>
      <c r="J20" s="106"/>
      <c r="K20" s="81"/>
    </row>
    <row r="21" spans="2:11" ht="15.75" customHeight="1" thickTop="1" x14ac:dyDescent="0.3">
      <c r="H21" s="6"/>
    </row>
    <row r="22" spans="2:11" ht="15.75" customHeight="1" x14ac:dyDescent="0.3"/>
    <row r="23" spans="2:11" ht="15.75" customHeight="1" x14ac:dyDescent="0.3"/>
    <row r="24" spans="2:11" ht="15.75" customHeight="1" x14ac:dyDescent="0.3"/>
    <row r="25" spans="2:11" ht="15.75" customHeight="1" x14ac:dyDescent="0.3"/>
    <row r="26" spans="2:11" ht="15.75" customHeight="1" x14ac:dyDescent="0.3"/>
    <row r="27" spans="2:11" ht="15.75" customHeight="1" x14ac:dyDescent="0.3"/>
    <row r="28" spans="2:11" ht="15.75" customHeight="1" x14ac:dyDescent="0.3"/>
    <row r="29" spans="2:11" ht="15.75" customHeight="1" x14ac:dyDescent="0.3"/>
    <row r="30" spans="2:11" ht="15.75" customHeight="1" x14ac:dyDescent="0.3"/>
    <row r="31" spans="2:11" ht="15.75" customHeight="1" x14ac:dyDescent="0.3"/>
    <row r="32" spans="2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H20 G4:G20">
    <cfRule type="containsBlanks" dxfId="2" priority="1">
      <formula>LEN(TRIM(G4))=0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6"/>
  <sheetViews>
    <sheetView showGridLines="0" zoomScaleNormal="100" zoomScalePageLayoutView="80" workbookViewId="0">
      <selection activeCell="E33" sqref="E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23" t="s">
        <v>301</v>
      </c>
      <c r="C2" s="12"/>
      <c r="D2" s="12"/>
      <c r="E2" s="12"/>
      <c r="F2" s="12"/>
      <c r="G2" s="12"/>
      <c r="H2" s="12"/>
      <c r="I2" s="12"/>
    </row>
    <row r="3" spans="1:10" ht="15.75" customHeight="1" x14ac:dyDescent="0.3">
      <c r="B3" s="31" t="str">
        <f>"(Numbers in "&amp;Data!C4&amp;Dashboard!I11&amp;")"</f>
        <v>(Numbers in 1000HKD)</v>
      </c>
      <c r="C3" s="349">
        <f>Data!C3</f>
        <v>44561</v>
      </c>
      <c r="D3" s="30">
        <v>1</v>
      </c>
      <c r="E3" s="30" t="str">
        <f>IF(E4="","","2")</f>
        <v/>
      </c>
      <c r="F3" s="30" t="str">
        <f>IF(F4="","","3")</f>
        <v/>
      </c>
      <c r="G3" s="30" t="s">
        <v>299</v>
      </c>
      <c r="I3" s="97" t="s">
        <v>175</v>
      </c>
    </row>
    <row r="4" spans="1:10" ht="15.75" customHeight="1" x14ac:dyDescent="0.3">
      <c r="B4" s="5" t="s">
        <v>54</v>
      </c>
      <c r="C4" s="225">
        <f>Operation!C20</f>
        <v>6739664</v>
      </c>
      <c r="D4" s="49">
        <f>Operation!E20</f>
        <v>1825905.3000000003</v>
      </c>
      <c r="E4" s="49" t="str">
        <f>Operation!G20</f>
        <v/>
      </c>
      <c r="F4" s="248" t="str">
        <f>Operation!H20</f>
        <v/>
      </c>
      <c r="G4" s="244"/>
      <c r="H4" s="6"/>
      <c r="I4" s="106"/>
      <c r="J4" s="81"/>
    </row>
    <row r="5" spans="1:10" ht="15.75" customHeight="1" x14ac:dyDescent="0.3">
      <c r="B5" s="17" t="s">
        <v>327</v>
      </c>
      <c r="C5" s="332"/>
      <c r="D5" s="333">
        <f>Operation!E19</f>
        <v>-0.72908066336838151</v>
      </c>
      <c r="E5" s="333" t="str">
        <f>IF(E4="","",Operation!G19)</f>
        <v/>
      </c>
      <c r="F5" s="333" t="str">
        <f>IF(F4="","",Operation!H19)</f>
        <v/>
      </c>
      <c r="G5" s="244"/>
      <c r="H5" s="6"/>
      <c r="I5" s="106"/>
      <c r="J5" s="81"/>
    </row>
    <row r="6" spans="1:10" ht="15.75" customHeight="1" x14ac:dyDescent="0.3">
      <c r="B6" s="20" t="s">
        <v>182</v>
      </c>
      <c r="C6" s="232">
        <v>0.16500000000000001</v>
      </c>
      <c r="D6" s="310">
        <f>C6</f>
        <v>0.16500000000000001</v>
      </c>
      <c r="E6" s="311" t="str">
        <f>IF(E4="","",D6)</f>
        <v/>
      </c>
      <c r="F6" s="312" t="str">
        <f>IF(F4="","",D6)</f>
        <v/>
      </c>
      <c r="G6" s="245"/>
      <c r="H6" s="6"/>
      <c r="I6" s="105"/>
      <c r="J6" s="82"/>
    </row>
    <row r="7" spans="1:10" ht="15.75" customHeight="1" x14ac:dyDescent="0.3">
      <c r="B7" s="5" t="s">
        <v>104</v>
      </c>
      <c r="C7" s="233">
        <f>IF(C4&lt;=0,C4,C4*(1-C6))</f>
        <v>5627619.4399999995</v>
      </c>
      <c r="D7" s="107">
        <f>IF(D4&lt;=0,D4,D4*(1-D6))</f>
        <v>1524630.9255000001</v>
      </c>
      <c r="E7" s="107" t="str">
        <f>IF(E4="","",IF(E4&lt;=0,E4,E4*(1-E6)))</f>
        <v/>
      </c>
      <c r="F7" s="249" t="str">
        <f>IF(F4="","",IF(F4&lt;=0,F4,F4*(1-F6)))</f>
        <v/>
      </c>
      <c r="G7" s="244"/>
      <c r="H7" s="6"/>
      <c r="I7" s="108"/>
      <c r="J7" s="81"/>
    </row>
    <row r="8" spans="1:10" ht="15.75" customHeight="1" x14ac:dyDescent="0.3">
      <c r="B8" s="17" t="s">
        <v>72</v>
      </c>
      <c r="C8" s="90">
        <f>C10/C7</f>
        <v>0.35539005814508312</v>
      </c>
      <c r="D8" s="283">
        <f>C8</f>
        <v>0.35539005814508312</v>
      </c>
      <c r="E8" s="90"/>
      <c r="F8" s="307"/>
      <c r="G8" s="245"/>
      <c r="H8" s="6"/>
      <c r="I8" s="104"/>
    </row>
    <row r="9" spans="1:10" ht="15.75" customHeight="1" x14ac:dyDescent="0.3">
      <c r="B9" s="17" t="s">
        <v>331</v>
      </c>
      <c r="C9" s="336"/>
      <c r="D9" s="334">
        <f>(D7-C7)/C10</f>
        <v>-2.0514942572499999</v>
      </c>
      <c r="E9" s="257"/>
      <c r="F9" s="335"/>
      <c r="G9" s="245"/>
      <c r="H9" s="6"/>
      <c r="I9" s="104"/>
    </row>
    <row r="10" spans="1:10" ht="15" customHeight="1" thickBot="1" x14ac:dyDescent="0.35">
      <c r="B10" s="109" t="s">
        <v>101</v>
      </c>
      <c r="C10" s="238">
        <v>2000000</v>
      </c>
      <c r="D10" s="238">
        <f>D7*D8</f>
        <v>541838.67326323688</v>
      </c>
      <c r="E10" s="308" t="str">
        <f>IF(E4="","",E7*E8)</f>
        <v/>
      </c>
      <c r="F10" s="309" t="str">
        <f>IF(F4="","",F7*F8)</f>
        <v/>
      </c>
      <c r="G10" s="246"/>
      <c r="H10" s="110"/>
      <c r="I10" s="81"/>
      <c r="J10" s="81"/>
    </row>
    <row r="11" spans="1:10" ht="15.75" customHeight="1" thickTop="1" x14ac:dyDescent="0.3">
      <c r="B11" s="17" t="s">
        <v>183</v>
      </c>
      <c r="C11" s="237">
        <f>C7-C10</f>
        <v>3627619.4399999995</v>
      </c>
      <c r="D11" s="236">
        <f>IF(D7="","",D7-D10)</f>
        <v>982792.25223676325</v>
      </c>
      <c r="E11" s="236" t="str">
        <f>IF(E4="","",E7-E10)</f>
        <v/>
      </c>
      <c r="F11" s="236" t="str">
        <f>IF(F4="","",F7*(1-F8))</f>
        <v/>
      </c>
      <c r="G11" s="295">
        <f>IF(F4="",IF(E4="",D11,E11),F11)</f>
        <v>982792.25223676325</v>
      </c>
      <c r="H11" s="110"/>
      <c r="I11" s="81"/>
      <c r="J11" s="81"/>
    </row>
    <row r="12" spans="1:10" ht="15.75" customHeight="1" x14ac:dyDescent="0.3">
      <c r="B12" s="254" t="s">
        <v>291</v>
      </c>
      <c r="C12" s="291">
        <f>C11*Data!C$4/Dashboard!I5</f>
        <v>2.499548380413779</v>
      </c>
      <c r="D12" s="292">
        <f>IF(D11="","",D11*Data!C$4/Dashboard!$I$5)</f>
        <v>0.67717598910033738</v>
      </c>
      <c r="E12" s="292" t="str">
        <f>IF(E11="","",E11*Data!D$4/Dashboard!$I$5)</f>
        <v/>
      </c>
      <c r="F12" s="292" t="str">
        <f>IF(F11="","",F11*Data!E$4/Dashboard!$I$5)</f>
        <v/>
      </c>
      <c r="G12" s="296">
        <f>G11*Data!C$4/Dashboard!I5</f>
        <v>0.67717598910033738</v>
      </c>
      <c r="H12" s="110"/>
      <c r="I12" s="81"/>
      <c r="J12" s="81"/>
    </row>
    <row r="13" spans="1:10" ht="15.75" customHeight="1" x14ac:dyDescent="0.3">
      <c r="B13" s="301" t="s">
        <v>326</v>
      </c>
      <c r="C13" s="293">
        <f>Data!C39/C12</f>
        <v>1.4654872397530214</v>
      </c>
      <c r="D13" s="294">
        <f>(0.4+0.95)/D12</f>
        <v>1.9935733424239444</v>
      </c>
      <c r="E13" s="294"/>
      <c r="F13" s="294"/>
      <c r="G13" s="302"/>
      <c r="H13" s="110"/>
      <c r="I13" s="81"/>
      <c r="J13" s="81"/>
    </row>
    <row r="14" spans="1:10" ht="15.75" customHeight="1" x14ac:dyDescent="0.3">
      <c r="B14" s="19" t="s">
        <v>294</v>
      </c>
      <c r="C14" s="304">
        <v>0</v>
      </c>
      <c r="D14" s="303">
        <v>0.95</v>
      </c>
      <c r="E14" s="303" t="str">
        <f>IF(E12="","",E12*E13)</f>
        <v/>
      </c>
      <c r="F14" s="303" t="str">
        <f>IF(F12="","",F12*F13)</f>
        <v/>
      </c>
      <c r="G14" s="297">
        <f>G12*D30</f>
        <v>7.7468933153078607</v>
      </c>
      <c r="H14" s="110"/>
      <c r="I14" s="81"/>
      <c r="J14" s="81"/>
    </row>
    <row r="15" spans="1:10" ht="15.75" customHeight="1" x14ac:dyDescent="0.3">
      <c r="B15" s="17" t="s">
        <v>184</v>
      </c>
      <c r="C15" s="235"/>
      <c r="D15" s="280">
        <f ca="1">Dashboard!D12</f>
        <v>0.19354444444444446</v>
      </c>
      <c r="E15" s="18" t="str">
        <f>IF(E4="","",D15)</f>
        <v/>
      </c>
      <c r="F15" s="18" t="str">
        <f>IF(F4="","",D15)</f>
        <v/>
      </c>
      <c r="G15" s="298">
        <f ca="1">Dashboard!D12</f>
        <v>0.19354444444444446</v>
      </c>
      <c r="H15" s="87"/>
      <c r="I15" s="82"/>
      <c r="J15" s="82"/>
    </row>
    <row r="16" spans="1:10" ht="15.75" customHeight="1" thickBot="1" x14ac:dyDescent="0.35">
      <c r="B16" s="111" t="s">
        <v>185</v>
      </c>
      <c r="C16" s="146"/>
      <c r="D16" s="281">
        <f ca="1">IF(D4="","",1+D15)</f>
        <v>1.1935444444444445</v>
      </c>
      <c r="E16" s="282" t="str">
        <f>IF(E4="","",(1+D15)*(1+E15))</f>
        <v/>
      </c>
      <c r="F16" s="282" t="str">
        <f>IF(F4="","",(1+D15)*(1+E15)*(1+F15))</f>
        <v/>
      </c>
      <c r="G16" s="299">
        <f ca="1">IF(F4="",IF(E4="",D16,E16),F16)*(1+G15)</f>
        <v>1.4245483408641977</v>
      </c>
      <c r="H16" s="87"/>
      <c r="I16" s="82"/>
      <c r="J16" s="82"/>
    </row>
    <row r="17" spans="1:10" ht="15.75" customHeight="1" thickTop="1" x14ac:dyDescent="0.3">
      <c r="B17" s="8" t="s">
        <v>295</v>
      </c>
      <c r="C17" s="305">
        <f>C14</f>
        <v>0</v>
      </c>
      <c r="D17" s="241">
        <f ca="1">IF(D14="","",IF(D14=0,0,D14/D16))</f>
        <v>0.79594857520550355</v>
      </c>
      <c r="E17" s="242" t="str">
        <f>IF(E14="","",IF(E14=0,0,E14/E16))</f>
        <v/>
      </c>
      <c r="F17" s="242" t="str">
        <f>IF(F14="","",IF(F14=0,0,F14/F16))</f>
        <v/>
      </c>
      <c r="G17" s="300">
        <f ca="1">IF(G14=0,0,G14/G16)</f>
        <v>5.4381400006462632</v>
      </c>
      <c r="H17" s="108"/>
      <c r="I17" s="81"/>
      <c r="J17" s="81"/>
    </row>
    <row r="18" spans="1:10" ht="15.75" customHeight="1" x14ac:dyDescent="0.3">
      <c r="F18" s="6"/>
      <c r="G18" s="147"/>
    </row>
    <row r="19" spans="1:10" ht="15.75" customHeight="1" x14ac:dyDescent="0.3">
      <c r="B19" s="27" t="s">
        <v>296</v>
      </c>
      <c r="C19" s="240" t="str">
        <f>B3</f>
        <v>(Numbers in 1000HKD)</v>
      </c>
      <c r="E19" s="97" t="s">
        <v>297</v>
      </c>
    </row>
    <row r="20" spans="1:10" ht="15.75" customHeight="1" x14ac:dyDescent="0.3">
      <c r="B20" s="83" t="s">
        <v>319</v>
      </c>
      <c r="C20" s="112">
        <f>Asset_Model!E59</f>
        <v>16946370</v>
      </c>
      <c r="D20" s="274">
        <f>C20/(Dashboard!I5/Data!C4)</f>
        <v>11.676602903912285</v>
      </c>
      <c r="E20" s="113" t="s">
        <v>316</v>
      </c>
      <c r="G20" s="174">
        <f>C20+C21+C22+C23</f>
        <v>11384655.722999997</v>
      </c>
    </row>
    <row r="21" spans="1:10" ht="15.75" customHeight="1" x14ac:dyDescent="0.3">
      <c r="B21" s="83" t="s">
        <v>323</v>
      </c>
      <c r="C21" s="112">
        <f>Asset_Model!E58</f>
        <v>15062377.5</v>
      </c>
      <c r="D21" s="274">
        <f>C21/(Dashboard!I5/Data!C4)</f>
        <v>10.378470484022422</v>
      </c>
      <c r="E21" s="113" t="s">
        <v>317</v>
      </c>
      <c r="G21" s="243">
        <f>G20*Data!C$4/Dashboard!I5</f>
        <v>7.8443999555788881</v>
      </c>
    </row>
    <row r="22" spans="1:10" ht="15.75" customHeight="1" x14ac:dyDescent="0.3">
      <c r="B22" s="83" t="s">
        <v>298</v>
      </c>
      <c r="C22" s="112">
        <f>-Asset_Model!D52</f>
        <v>-6103303.7770000007</v>
      </c>
      <c r="D22" s="274">
        <f>C22/(Dashboard!I5/Data!C4)</f>
        <v>-4.2053758183007348</v>
      </c>
      <c r="E22" s="448" t="str">
        <f>IF(F23+G23=G21,"⇒","Error!")</f>
        <v>⇒</v>
      </c>
      <c r="F22" s="183" t="s">
        <v>324</v>
      </c>
      <c r="G22" s="116" t="s">
        <v>25</v>
      </c>
    </row>
    <row r="23" spans="1:10" ht="15.75" customHeight="1" x14ac:dyDescent="0.3">
      <c r="B23" s="113" t="s">
        <v>318</v>
      </c>
      <c r="C23" s="112">
        <f>-Asset_Model!E50</f>
        <v>-14520788</v>
      </c>
      <c r="D23" s="274">
        <f>C23/(Dashboard!I5/Data!C4)</f>
        <v>-10.005297614055085</v>
      </c>
      <c r="E23" s="448"/>
      <c r="F23" s="189">
        <f>D20</f>
        <v>11.676602903912285</v>
      </c>
      <c r="G23" s="188">
        <f>SUM(D21:D23)</f>
        <v>-3.8322029483333973</v>
      </c>
    </row>
    <row r="24" spans="1:10" ht="15.75" customHeight="1" x14ac:dyDescent="0.3">
      <c r="F24" s="6"/>
      <c r="G24" s="6"/>
    </row>
    <row r="25" spans="1:10" ht="15.75" customHeight="1" x14ac:dyDescent="0.3">
      <c r="B25" s="27" t="s">
        <v>300</v>
      </c>
      <c r="C25" s="240" t="str">
        <f>B3</f>
        <v>(Numbers in 1000HKD)</v>
      </c>
      <c r="E25" s="114"/>
      <c r="F25" s="447" t="s">
        <v>307</v>
      </c>
      <c r="G25" s="447"/>
    </row>
    <row r="26" spans="1:10" ht="15.75" customHeight="1" x14ac:dyDescent="0.3">
      <c r="B26" s="164" t="str">
        <f>"Exit after Year "&amp;B27</f>
        <v>Exit after Year 1</v>
      </c>
      <c r="C26" s="164" t="s">
        <v>303</v>
      </c>
      <c r="D26" s="251" t="s">
        <v>293</v>
      </c>
      <c r="E26" s="164" t="s">
        <v>304</v>
      </c>
      <c r="F26" s="347" t="s">
        <v>306</v>
      </c>
      <c r="G26" s="347" t="s">
        <v>305</v>
      </c>
      <c r="I26" s="115" t="s">
        <v>175</v>
      </c>
    </row>
    <row r="27" spans="1:10" ht="15.75" hidden="1" customHeight="1" x14ac:dyDescent="0.3">
      <c r="B27" s="256">
        <f>IF(F3="",IF(E3="",1,2),3)</f>
        <v>1</v>
      </c>
      <c r="D27" s="250">
        <v>8</v>
      </c>
      <c r="E27" s="255">
        <f ca="1">G12*D27/G16</f>
        <v>3.8028951053470363</v>
      </c>
      <c r="F27" s="6"/>
      <c r="G27" s="116"/>
      <c r="I27" s="117"/>
    </row>
    <row r="28" spans="1:10" ht="15.75" customHeight="1" x14ac:dyDescent="0.3">
      <c r="B28" s="183" t="s">
        <v>334</v>
      </c>
      <c r="C28" s="14">
        <f>1/D28</f>
        <v>0.125</v>
      </c>
      <c r="D28" s="250">
        <f>'Qualitative Analysis'!E21</f>
        <v>8</v>
      </c>
      <c r="E28" s="260">
        <f t="dataTable" ref="E28:E30" dt2D="0" dtr="0" r1="D27" ca="1"/>
        <v>3.8028951053470363</v>
      </c>
      <c r="F28" s="449">
        <f ca="1">SUM(C17:F17)</f>
        <v>0.79594857520550355</v>
      </c>
      <c r="G28" s="260">
        <f ca="1">$F$28+E28+$G$21</f>
        <v>12.443243636131427</v>
      </c>
      <c r="I28" s="99"/>
    </row>
    <row r="29" spans="1:10" ht="15.75" customHeight="1" x14ac:dyDescent="0.3">
      <c r="B29" s="183" t="s">
        <v>335</v>
      </c>
      <c r="C29" s="14">
        <f t="shared" ref="C29" si="0">1/D29</f>
        <v>9.6153846153846145E-2</v>
      </c>
      <c r="D29" s="250">
        <f>D28*1.3</f>
        <v>10.4</v>
      </c>
      <c r="E29" s="259">
        <v>4.9437636369511475</v>
      </c>
      <c r="F29" s="450"/>
      <c r="G29" s="259">
        <f ca="1">$F$28+E29+$G$21</f>
        <v>13.58411216773554</v>
      </c>
      <c r="I29" s="99"/>
    </row>
    <row r="30" spans="1:10" ht="15.75" customHeight="1" x14ac:dyDescent="0.3">
      <c r="B30" s="187" t="s">
        <v>336</v>
      </c>
      <c r="C30" s="252">
        <f>1/D30</f>
        <v>8.7412587412587409E-2</v>
      </c>
      <c r="D30" s="253">
        <f>D29*1.1</f>
        <v>11.440000000000001</v>
      </c>
      <c r="E30" s="261">
        <v>5.4381400006462632</v>
      </c>
      <c r="F30" s="451"/>
      <c r="G30" s="261">
        <f ca="1">$F$28+E30+$G$21</f>
        <v>14.078488531430654</v>
      </c>
      <c r="I30" s="99"/>
    </row>
    <row r="31" spans="1:10" ht="15.75" customHeight="1" x14ac:dyDescent="0.3">
      <c r="C31" s="6"/>
      <c r="D31" s="6"/>
      <c r="E31" s="6"/>
      <c r="F31" s="6"/>
      <c r="G31" s="6"/>
    </row>
    <row r="32" spans="1:10" ht="15.75" customHeight="1" x14ac:dyDescent="0.3">
      <c r="A32" s="10"/>
      <c r="B32" s="11" t="s">
        <v>19</v>
      </c>
      <c r="C32" s="325" t="str">
        <f>"(Numbers in "&amp;Dashboard!J4&amp;" per share)"</f>
        <v>(Numbers in HKD per share)</v>
      </c>
      <c r="D32" s="164"/>
      <c r="E32" s="170"/>
      <c r="F32" s="164"/>
      <c r="G32" s="164"/>
      <c r="H32" s="12"/>
      <c r="I32" s="121"/>
    </row>
    <row r="33" spans="1:9" ht="15.75" customHeight="1" x14ac:dyDescent="0.3">
      <c r="A33" s="6"/>
      <c r="B33" s="96" t="s">
        <v>186</v>
      </c>
      <c r="C33" s="327">
        <f ca="1">MIN(Asset_Model!D7,G28)+(ABS(Asset_Model!D7-G28)*'Qualitative Analysis'!E80)*Exchange_Rate</f>
        <v>15.507841815017519</v>
      </c>
      <c r="D33" s="24" t="str">
        <f ca="1">IF(C33&lt;E33,"&lt;",IF(C33=E33,"=","&gt;"))</f>
        <v>&gt;</v>
      </c>
      <c r="E33" s="326">
        <f ca="1">G29*Exchange_Rate</f>
        <v>13.58411216773554</v>
      </c>
      <c r="F33" s="32"/>
      <c r="H33" s="6"/>
      <c r="I33" s="6"/>
    </row>
    <row r="34" spans="1:9" ht="15.75" customHeight="1" x14ac:dyDescent="0.3">
      <c r="B34" s="6"/>
      <c r="C34" s="159"/>
      <c r="D34" s="159"/>
      <c r="E34" s="159"/>
      <c r="F34" s="159"/>
      <c r="G34" s="160"/>
      <c r="H34" s="6"/>
      <c r="I34" s="119"/>
    </row>
    <row r="35" spans="1:9" ht="15.75" customHeight="1" x14ac:dyDescent="0.3">
      <c r="C35" s="410" t="s">
        <v>187</v>
      </c>
      <c r="D35" s="446"/>
      <c r="E35" s="32" t="s">
        <v>292</v>
      </c>
      <c r="F35" s="32" t="s">
        <v>20</v>
      </c>
      <c r="G35" s="32"/>
      <c r="H35" s="6"/>
    </row>
    <row r="36" spans="1:9" ht="15.75" customHeight="1" x14ac:dyDescent="0.3">
      <c r="B36" s="331" t="s">
        <v>310</v>
      </c>
      <c r="C36" s="328">
        <f ca="1">MIN(C33,E33)+(ABS(C33-E33)*'Qualitative Analysis'!E80)</f>
        <v>14.56222618170788</v>
      </c>
      <c r="D36" s="155" t="str">
        <f>Dashboard!J4</f>
        <v>HKD</v>
      </c>
      <c r="E36" s="156">
        <f ca="1">(C36-G21)/C12</f>
        <v>2.6876160024623776</v>
      </c>
      <c r="F36" s="199">
        <f ca="1">C36/(Data!C28*Exchange_Rate*Data!C4/Common_Shares)</f>
        <v>0.16498310271306268</v>
      </c>
      <c r="G36" s="116"/>
      <c r="H36" s="6"/>
      <c r="I36" s="99"/>
    </row>
    <row r="37" spans="1:9" ht="15.75" customHeight="1" x14ac:dyDescent="0.3">
      <c r="B37" s="330" t="s">
        <v>309</v>
      </c>
      <c r="C37" s="329">
        <f ca="1">(G14/(1+G37)^B27+F28+G21)*Exchange_Rate</f>
        <v>16.168181895188106</v>
      </c>
      <c r="D37" s="262" t="str">
        <f>D36</f>
        <v>HKD</v>
      </c>
      <c r="E37" s="156">
        <f ca="1">(C37-G21)/C12</f>
        <v>3.330114353790298</v>
      </c>
      <c r="F37" s="199">
        <f ca="1">C37/(Data!C28*Exchange_Rate*Data!C4/Common_Shares)</f>
        <v>0.1831778178015124</v>
      </c>
      <c r="G37" s="263">
        <f>Dashboard!D10</f>
        <v>2.9100000000000001E-2</v>
      </c>
    </row>
    <row r="38" spans="1:9" ht="15.75" customHeight="1" x14ac:dyDescent="0.3"/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</sheetData>
  <mergeCells count="4">
    <mergeCell ref="C35:D35"/>
    <mergeCell ref="F25:G25"/>
    <mergeCell ref="E22:E23"/>
    <mergeCell ref="F28:F30"/>
  </mergeCells>
  <conditionalFormatting sqref="E4:F17">
    <cfRule type="containsBlanks" dxfId="1" priority="5">
      <formula>LEN(TRIM(E4))=0</formula>
    </cfRule>
  </conditionalFormatting>
  <conditionalFormatting sqref="E28:E30 G28:G30">
    <cfRule type="cellIs" dxfId="0" priority="28" operator="equal">
      <formula>$E$33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93"/>
  <sheetViews>
    <sheetView showGridLines="0" zoomScaleNormal="100" workbookViewId="0">
      <selection activeCell="F14" sqref="F1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188</v>
      </c>
      <c r="C2" s="126"/>
      <c r="D2" s="12"/>
      <c r="E2" s="12"/>
    </row>
    <row r="3" spans="1:5" ht="14" x14ac:dyDescent="0.3">
      <c r="B3" s="127" t="s">
        <v>189</v>
      </c>
      <c r="C3" s="128"/>
      <c r="D3" s="6"/>
      <c r="E3" s="6"/>
    </row>
    <row r="4" spans="1:5" ht="14" x14ac:dyDescent="0.3">
      <c r="B4" s="6" t="s">
        <v>190</v>
      </c>
      <c r="C4" s="128"/>
      <c r="D4" s="125">
        <f>IF(E4="Strongly disagree",0,IF(E4="disagree",1,IF(E4="unclear",2,IF(E4="agree",3,4))))</f>
        <v>1</v>
      </c>
      <c r="E4" s="33" t="s">
        <v>217</v>
      </c>
    </row>
    <row r="5" spans="1:5" ht="14" x14ac:dyDescent="0.3">
      <c r="B5" s="6" t="s">
        <v>192</v>
      </c>
      <c r="C5" s="128"/>
      <c r="D5" s="125">
        <f t="shared" ref="D5" si="0">IF(E5="Strongly disagree",0,IF(E5="disagree",1,IF(E5="unclear",2,IF(E5="agree",3,4))))</f>
        <v>0</v>
      </c>
      <c r="E5" s="33" t="s">
        <v>235</v>
      </c>
    </row>
    <row r="6" spans="1:5" ht="14" x14ac:dyDescent="0.3">
      <c r="B6" s="6" t="s">
        <v>194</v>
      </c>
      <c r="C6" s="128"/>
      <c r="D6" s="125">
        <f>IF(E6="Strongly disagree",0,IF(E6="disagree",1,IF(E6="unclear",2,IF(E6="agree",3,4))))</f>
        <v>0</v>
      </c>
      <c r="E6" s="33" t="s">
        <v>235</v>
      </c>
    </row>
    <row r="7" spans="1:5" ht="14" x14ac:dyDescent="0.3">
      <c r="B7" s="129" t="s">
        <v>195</v>
      </c>
      <c r="C7" s="128"/>
      <c r="D7" s="125">
        <f>AVERAGE(D4:D6)</f>
        <v>0.33333333333333331</v>
      </c>
      <c r="E7" s="130">
        <f>D7/4</f>
        <v>8.3333333333333329E-2</v>
      </c>
    </row>
    <row r="8" spans="1:5" ht="14" x14ac:dyDescent="0.3">
      <c r="B8" s="128"/>
      <c r="C8" s="128"/>
      <c r="E8" s="6"/>
    </row>
    <row r="9" spans="1:5" ht="14" x14ac:dyDescent="0.3">
      <c r="B9" s="131" t="s">
        <v>196</v>
      </c>
      <c r="C9" s="57"/>
      <c r="D9" s="40"/>
      <c r="E9" s="24"/>
    </row>
    <row r="10" spans="1:5" ht="14" x14ac:dyDescent="0.3">
      <c r="B10" s="3" t="s">
        <v>197</v>
      </c>
      <c r="D10" s="132">
        <f>IF(E10="Strongly disagree",0,IF(E10="disagree",1,IF(E10="unclear",2,IF(E10="agree",3,4))))</f>
        <v>3</v>
      </c>
      <c r="E10" s="33" t="s">
        <v>193</v>
      </c>
    </row>
    <row r="11" spans="1:5" ht="14" x14ac:dyDescent="0.3">
      <c r="B11" s="3" t="s">
        <v>198</v>
      </c>
      <c r="C11" s="57"/>
      <c r="D11" s="132">
        <f>IF(E11="Strongly disagree",0,IF(E11="disagree",1,IF(E11="unclear",2,IF(E11="agree",3,4))))</f>
        <v>0</v>
      </c>
      <c r="E11" s="134" t="str">
        <f>IF(D7&gt;=3.5,"Strongly agree",IF(D7&gt;=2.5,"agree",IF(D7&gt;=1.5,"unclear",IF(D7&gt;=0.5,"disagree","Strongly disagree"))))</f>
        <v>Strongly disagree</v>
      </c>
    </row>
    <row r="12" spans="1:5" ht="14" x14ac:dyDescent="0.3">
      <c r="B12" s="3" t="s">
        <v>199</v>
      </c>
      <c r="D12" s="132">
        <f>IF(E12="Strongly disagree",0,IF(E12="disagree",1,IF(E12="unclear",2,IF(E12="agree",3,4))))</f>
        <v>2</v>
      </c>
      <c r="E12" s="133" t="str">
        <f>IF(D80&gt;=3.5,"Strongly agree",IF(D80&gt;=2.5,"agree",IF(D80&gt;=1.5,"unclear",IF(D80&gt;=0.5,"disagree","Strongly disagree"))))</f>
        <v>unclear</v>
      </c>
    </row>
    <row r="13" spans="1:5" ht="14" x14ac:dyDescent="0.3">
      <c r="B13" s="129" t="s">
        <v>200</v>
      </c>
      <c r="D13" s="132">
        <f>AVERAGE(D10:D12)</f>
        <v>1.6666666666666667</v>
      </c>
      <c r="E13" s="130">
        <f>D13/3</f>
        <v>0.55555555555555558</v>
      </c>
    </row>
    <row r="14" spans="1:5" ht="14" x14ac:dyDescent="0.3">
      <c r="B14" s="129"/>
      <c r="D14" s="132"/>
      <c r="E14" s="116"/>
    </row>
    <row r="15" spans="1:5" x14ac:dyDescent="0.3">
      <c r="A15" s="4"/>
      <c r="B15" s="11" t="s">
        <v>201</v>
      </c>
      <c r="C15" s="21" t="s">
        <v>202</v>
      </c>
      <c r="D15" s="21"/>
      <c r="E15" s="12"/>
    </row>
    <row r="16" spans="1:5" ht="14" x14ac:dyDescent="0.3">
      <c r="B16" s="206" t="s">
        <v>203</v>
      </c>
      <c r="C16" s="6"/>
      <c r="D16" s="118">
        <f>1/E16</f>
        <v>0.125</v>
      </c>
      <c r="E16" s="250">
        <v>8</v>
      </c>
    </row>
    <row r="17" spans="1:6" ht="14" x14ac:dyDescent="0.3">
      <c r="B17" s="3" t="s">
        <v>204</v>
      </c>
      <c r="C17" s="6"/>
      <c r="D17" s="132" t="str">
        <f>IF(LEFT(E17,3)="(+)","+","-")</f>
        <v>-</v>
      </c>
      <c r="E17" s="33" t="s">
        <v>205</v>
      </c>
      <c r="F17" s="6"/>
    </row>
    <row r="18" spans="1:6" ht="14" x14ac:dyDescent="0.3">
      <c r="B18" s="3" t="s">
        <v>206</v>
      </c>
      <c r="D18" s="132" t="str">
        <f t="shared" ref="D18:D19" si="1">IF(LEFT(E18,3)="(+)","+","-")</f>
        <v>-</v>
      </c>
      <c r="E18" s="185" t="s">
        <v>207</v>
      </c>
    </row>
    <row r="19" spans="1:6" ht="14" x14ac:dyDescent="0.3">
      <c r="B19" s="3" t="s">
        <v>208</v>
      </c>
      <c r="D19" s="132" t="str">
        <f t="shared" si="1"/>
        <v>+</v>
      </c>
      <c r="E19" s="33" t="s">
        <v>209</v>
      </c>
    </row>
    <row r="20" spans="1:6" ht="14" x14ac:dyDescent="0.3">
      <c r="B20" s="129" t="s">
        <v>210</v>
      </c>
      <c r="D20" s="132" t="str">
        <f>D17&amp;D18&amp;D19</f>
        <v>--+</v>
      </c>
      <c r="E20" s="186" t="str">
        <f>IF(D20="+-+","Growth", IF(D20="+--","Mature", "Shakeout/Decline")) &amp; " stage"</f>
        <v>Shakeout/Decline stage</v>
      </c>
    </row>
    <row r="21" spans="1:6" ht="14" x14ac:dyDescent="0.3">
      <c r="B21" s="129" t="s">
        <v>211</v>
      </c>
      <c r="D21" s="118">
        <f>1/E21</f>
        <v>0.125</v>
      </c>
      <c r="E21" s="250">
        <f>IF(LEFT(E20,1)="G", E16/2.4, IF(LEFT(E20,1)="M", E16/1.8, E16))</f>
        <v>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212</v>
      </c>
      <c r="C23" s="21"/>
      <c r="D23" s="21"/>
      <c r="E23" s="12"/>
    </row>
    <row r="24" spans="1:6" ht="15" customHeight="1" x14ac:dyDescent="0.3">
      <c r="B24" s="131" t="s">
        <v>213</v>
      </c>
      <c r="C24" s="124"/>
      <c r="E24" s="6"/>
    </row>
    <row r="25" spans="1:6" ht="15" customHeight="1" x14ac:dyDescent="0.3">
      <c r="B25" s="57" t="s">
        <v>283</v>
      </c>
      <c r="D25" s="132">
        <f>IF(E25="Strongly disagree",0,IF(E25="disagree",1,IF(E25="unclear",2,IF(E25="agree",3,4))))</f>
        <v>0</v>
      </c>
      <c r="E25" s="133" t="str">
        <f>E11</f>
        <v>Strongly disagree</v>
      </c>
      <c r="F25" s="6"/>
    </row>
    <row r="26" spans="1:6" ht="15" customHeight="1" x14ac:dyDescent="0.3">
      <c r="B26" s="57" t="s">
        <v>214</v>
      </c>
      <c r="D26" s="132">
        <f>IF(E26="Strongly disagree",0,IF(E26="disagree",1,IF(E26="unclear",2,IF(E26="agree",3,4))))</f>
        <v>2</v>
      </c>
      <c r="E26" s="33" t="s">
        <v>191</v>
      </c>
      <c r="F26" s="6"/>
    </row>
    <row r="27" spans="1:6" ht="15" customHeight="1" x14ac:dyDescent="0.3">
      <c r="B27" s="57" t="s">
        <v>215</v>
      </c>
      <c r="D27" s="132">
        <f>IF(E27="Strongly disagree",0,IF(E27="disagree",1,IF(E27="unclear",2,IF(E27="agree",3,4))))</f>
        <v>2</v>
      </c>
      <c r="E27" s="33" t="s">
        <v>191</v>
      </c>
      <c r="F27" s="6"/>
    </row>
    <row r="28" spans="1:6" ht="15" customHeight="1" x14ac:dyDescent="0.3">
      <c r="B28" s="57" t="s">
        <v>216</v>
      </c>
      <c r="D28" s="132">
        <f>IF(E28="Strongly disagree",0,IF(E28="disagree",1,IF(E28="unclear",2,IF(E28="agree",3,4))))</f>
        <v>2</v>
      </c>
      <c r="E28" s="33" t="s">
        <v>191</v>
      </c>
      <c r="F28" s="6"/>
    </row>
    <row r="29" spans="1:6" ht="15" customHeight="1" x14ac:dyDescent="0.3">
      <c r="B29" s="57" t="s">
        <v>218</v>
      </c>
      <c r="D29" s="132">
        <f>IF(E29="Strongly disagree",0,IF(E29="disagree",1,IF(E29="unclear",2,IF(E29="agree",3,4))))</f>
        <v>4</v>
      </c>
      <c r="E29" s="33" t="s">
        <v>219</v>
      </c>
      <c r="F29" s="6"/>
    </row>
    <row r="30" spans="1:6" ht="15" customHeight="1" x14ac:dyDescent="0.3">
      <c r="B30" s="131" t="s">
        <v>220</v>
      </c>
      <c r="D30" s="40"/>
      <c r="E30" s="24"/>
    </row>
    <row r="31" spans="1:6" ht="15" customHeight="1" x14ac:dyDescent="0.3">
      <c r="B31" s="57" t="s">
        <v>221</v>
      </c>
      <c r="D31" s="132">
        <f>IF(E31="Strongly disagree",0,IF(E31="disagree",1,IF(E31="unclear",2,IF(E31="agree",3,4))))</f>
        <v>0</v>
      </c>
      <c r="E31" s="53" t="str">
        <f>IF(OR(Asset_Model!I24&lt;0.8,Asset_Model!I44&lt;0.6),"Strongly disagree",
IF(OR(Asset_Model!I24&lt;1,Asset_Model!I44&lt;0.8),"unclear", IF(OR(Asset_Model!I24&lt;1.8,Asset_Model!I44&lt;1.4),"agree","Strongly agree"))
)</f>
        <v>Strongly disagree</v>
      </c>
      <c r="F31" s="6"/>
    </row>
    <row r="32" spans="1:6" ht="15" customHeight="1" x14ac:dyDescent="0.3">
      <c r="B32" s="57" t="s">
        <v>222</v>
      </c>
      <c r="D32" s="132">
        <f t="shared" ref="D32:D35" si="2">IF(E32="Strongly disagree",0,IF(E32="disagree",1,IF(E32="unclear",2,IF(E32="agree",3,4))))</f>
        <v>1</v>
      </c>
      <c r="E32" s="33" t="s">
        <v>217</v>
      </c>
      <c r="F32" s="6"/>
    </row>
    <row r="33" spans="2:6" ht="15" customHeight="1" x14ac:dyDescent="0.3">
      <c r="B33" s="57" t="s">
        <v>223</v>
      </c>
      <c r="D33" s="132">
        <f t="shared" si="2"/>
        <v>0</v>
      </c>
      <c r="E33" s="33" t="s">
        <v>235</v>
      </c>
      <c r="F33" s="6"/>
    </row>
    <row r="34" spans="2:6" ht="15" customHeight="1" x14ac:dyDescent="0.3">
      <c r="B34" s="57" t="s">
        <v>224</v>
      </c>
      <c r="D34" s="132">
        <f t="shared" si="2"/>
        <v>2</v>
      </c>
      <c r="E34" s="33" t="s">
        <v>191</v>
      </c>
      <c r="F34" s="6"/>
    </row>
    <row r="35" spans="2:6" ht="15" customHeight="1" x14ac:dyDescent="0.3">
      <c r="B35" s="57" t="s">
        <v>225</v>
      </c>
      <c r="D35" s="132">
        <f t="shared" si="2"/>
        <v>1</v>
      </c>
      <c r="E35" s="33" t="s">
        <v>217</v>
      </c>
      <c r="F35" s="6"/>
    </row>
    <row r="36" spans="2:6" ht="15" customHeight="1" x14ac:dyDescent="0.3">
      <c r="B36" s="131" t="s">
        <v>226</v>
      </c>
      <c r="D36" s="40"/>
      <c r="E36" s="24"/>
    </row>
    <row r="37" spans="2:6" ht="15" customHeight="1" x14ac:dyDescent="0.3">
      <c r="B37" s="57" t="s">
        <v>227</v>
      </c>
      <c r="D37" s="132">
        <f t="shared" ref="D37:D41" si="3">IF(E37="Strongly disagree",0,IF(E37="disagree",1,IF(E37="unclear",2,IF(E37="agree",3,4))))</f>
        <v>4</v>
      </c>
      <c r="E37" s="33" t="s">
        <v>219</v>
      </c>
      <c r="F37" s="6"/>
    </row>
    <row r="38" spans="2:6" ht="15" customHeight="1" x14ac:dyDescent="0.3">
      <c r="B38" s="57" t="s">
        <v>228</v>
      </c>
      <c r="D38" s="132">
        <f t="shared" si="3"/>
        <v>3</v>
      </c>
      <c r="E38" s="33" t="s">
        <v>193</v>
      </c>
      <c r="F38" s="6"/>
    </row>
    <row r="39" spans="2:6" ht="15" customHeight="1" x14ac:dyDescent="0.3">
      <c r="B39" s="57" t="s">
        <v>229</v>
      </c>
      <c r="D39" s="132">
        <f t="shared" si="3"/>
        <v>3</v>
      </c>
      <c r="E39" s="33" t="s">
        <v>193</v>
      </c>
      <c r="F39" s="6"/>
    </row>
    <row r="40" spans="2:6" ht="15" customHeight="1" x14ac:dyDescent="0.3">
      <c r="B40" s="57" t="s">
        <v>230</v>
      </c>
      <c r="D40" s="132">
        <f t="shared" si="3"/>
        <v>2</v>
      </c>
      <c r="E40" s="33" t="s">
        <v>191</v>
      </c>
      <c r="F40" s="6"/>
    </row>
    <row r="41" spans="2:6" ht="15" customHeight="1" x14ac:dyDescent="0.3">
      <c r="B41" s="57" t="s">
        <v>231</v>
      </c>
      <c r="D41" s="132">
        <f t="shared" si="3"/>
        <v>3</v>
      </c>
      <c r="E41" s="33" t="s">
        <v>193</v>
      </c>
      <c r="F41" s="6"/>
    </row>
    <row r="42" spans="2:6" ht="15" customHeight="1" x14ac:dyDescent="0.3">
      <c r="B42" s="131" t="s">
        <v>232</v>
      </c>
      <c r="D42" s="40"/>
      <c r="E42" s="24"/>
    </row>
    <row r="43" spans="2:6" ht="15" customHeight="1" x14ac:dyDescent="0.3">
      <c r="B43" s="1" t="s">
        <v>233</v>
      </c>
      <c r="D43" s="135">
        <f>SUM(D44:D49)/(6*4)</f>
        <v>0.66666666666666663</v>
      </c>
      <c r="E43" s="53" t="str">
        <f>IF(D43&gt;80%,"Very High",IF(D43&lt;=20%,"Very Low",IF(D43&lt;=40%,"Low",IF(D43&lt;=60%,"Medium","High"))))</f>
        <v>High</v>
      </c>
      <c r="F43" s="6"/>
    </row>
    <row r="44" spans="2:6" ht="15" customHeight="1" x14ac:dyDescent="0.3">
      <c r="B44" s="57" t="s">
        <v>234</v>
      </c>
      <c r="D44" s="132">
        <f t="shared" ref="D44:D49" si="4">IF(E44="Strongly disagree",0,IF(E44="disagree",1,IF(E44="unclear",2,IF(E44="agree",3,4))))</f>
        <v>2</v>
      </c>
      <c r="E44" s="33" t="s">
        <v>191</v>
      </c>
      <c r="F44" s="6"/>
    </row>
    <row r="45" spans="2:6" ht="15" customHeight="1" x14ac:dyDescent="0.3">
      <c r="B45" s="57" t="s">
        <v>236</v>
      </c>
      <c r="D45" s="132">
        <f t="shared" si="4"/>
        <v>4</v>
      </c>
      <c r="E45" s="33" t="s">
        <v>219</v>
      </c>
      <c r="F45" s="6"/>
    </row>
    <row r="46" spans="2:6" ht="15" customHeight="1" x14ac:dyDescent="0.3">
      <c r="B46" s="57" t="s">
        <v>237</v>
      </c>
      <c r="D46" s="132">
        <f t="shared" si="4"/>
        <v>4</v>
      </c>
      <c r="E46" s="33" t="s">
        <v>219</v>
      </c>
      <c r="F46" s="6"/>
    </row>
    <row r="47" spans="2:6" ht="15" customHeight="1" x14ac:dyDescent="0.3">
      <c r="B47" s="57" t="s">
        <v>238</v>
      </c>
      <c r="D47" s="132">
        <f t="shared" si="4"/>
        <v>0</v>
      </c>
      <c r="E47" s="33" t="s">
        <v>235</v>
      </c>
      <c r="F47" s="6"/>
    </row>
    <row r="48" spans="2:6" ht="15" customHeight="1" x14ac:dyDescent="0.3">
      <c r="B48" s="57" t="s">
        <v>239</v>
      </c>
      <c r="D48" s="132">
        <f t="shared" si="4"/>
        <v>2</v>
      </c>
      <c r="E48" s="33" t="s">
        <v>191</v>
      </c>
      <c r="F48" s="6"/>
    </row>
    <row r="49" spans="2:6" ht="15" customHeight="1" x14ac:dyDescent="0.3">
      <c r="B49" s="57" t="s">
        <v>284</v>
      </c>
      <c r="D49" s="132">
        <f t="shared" si="4"/>
        <v>4</v>
      </c>
      <c r="E49" s="33" t="s">
        <v>219</v>
      </c>
    </row>
    <row r="50" spans="2:6" ht="15" customHeight="1" x14ac:dyDescent="0.3">
      <c r="B50" s="1" t="s">
        <v>240</v>
      </c>
      <c r="D50" s="135">
        <f>SUM(D51:D56)/(6*4)</f>
        <v>0</v>
      </c>
      <c r="E50" s="53" t="str">
        <f>IF(D50&gt;80%,"Very High",IF(D50&lt;=20%,"Very Low",IF(D50&lt;=40%,"Low",IF(D50&lt;=60%,"Medium","High"))))</f>
        <v>Very Low</v>
      </c>
      <c r="F50" s="6"/>
    </row>
    <row r="51" spans="2:6" ht="15" customHeight="1" x14ac:dyDescent="0.3">
      <c r="B51" s="57" t="s">
        <v>241</v>
      </c>
      <c r="D51" s="132">
        <f t="shared" ref="D51:D56" si="5">IF(E51="Strongly disagree",0,IF(E51="disagree",1,IF(E51="unclear",2,IF(E51="agree",3,4))))</f>
        <v>0</v>
      </c>
      <c r="E51" s="33" t="s">
        <v>235</v>
      </c>
      <c r="F51" s="6"/>
    </row>
    <row r="52" spans="2:6" ht="15" customHeight="1" x14ac:dyDescent="0.3">
      <c r="B52" s="57" t="s">
        <v>242</v>
      </c>
      <c r="D52" s="132">
        <f t="shared" si="5"/>
        <v>0</v>
      </c>
      <c r="E52" s="33" t="s">
        <v>235</v>
      </c>
      <c r="F52" s="6"/>
    </row>
    <row r="53" spans="2:6" ht="15" customHeight="1" x14ac:dyDescent="0.3">
      <c r="B53" s="57" t="s">
        <v>243</v>
      </c>
      <c r="D53" s="132">
        <f t="shared" si="5"/>
        <v>0</v>
      </c>
      <c r="E53" s="33" t="s">
        <v>235</v>
      </c>
      <c r="F53" s="6"/>
    </row>
    <row r="54" spans="2:6" ht="15" customHeight="1" x14ac:dyDescent="0.3">
      <c r="B54" s="57" t="s">
        <v>244</v>
      </c>
      <c r="D54" s="132">
        <f t="shared" si="5"/>
        <v>0</v>
      </c>
      <c r="E54" s="33" t="s">
        <v>235</v>
      </c>
      <c r="F54" s="6"/>
    </row>
    <row r="55" spans="2:6" ht="15" customHeight="1" x14ac:dyDescent="0.3">
      <c r="B55" s="57" t="s">
        <v>245</v>
      </c>
      <c r="D55" s="132">
        <f t="shared" si="5"/>
        <v>0</v>
      </c>
      <c r="E55" s="33" t="s">
        <v>235</v>
      </c>
      <c r="F55" s="6"/>
    </row>
    <row r="56" spans="2:6" ht="15" customHeight="1" x14ac:dyDescent="0.3">
      <c r="B56" s="57" t="s">
        <v>246</v>
      </c>
      <c r="D56" s="132">
        <f t="shared" si="5"/>
        <v>0</v>
      </c>
      <c r="E56" s="33" t="s">
        <v>235</v>
      </c>
    </row>
    <row r="57" spans="2:6" ht="15" customHeight="1" x14ac:dyDescent="0.3">
      <c r="B57" s="1" t="s">
        <v>247</v>
      </c>
      <c r="D57" s="135">
        <f>SUM(D58:D63)/(6*4)</f>
        <v>0.5</v>
      </c>
      <c r="E57" s="53" t="str">
        <f>IF(D57&gt;80%,"Very High",IF(D57&lt;=20%,"Very Low",IF(D57&lt;=40%,"Low",IF(D57&lt;=60%,"Medium","High"))))</f>
        <v>Medium</v>
      </c>
      <c r="F57" s="6"/>
    </row>
    <row r="58" spans="2:6" ht="15" customHeight="1" x14ac:dyDescent="0.3">
      <c r="B58" s="57" t="s">
        <v>248</v>
      </c>
      <c r="D58" s="132">
        <f t="shared" ref="D58:D63" si="6">IF(E58="Strongly disagree",0,IF(E58="disagree",1,IF(E58="unclear",2,IF(E58="agree",3,4))))</f>
        <v>1</v>
      </c>
      <c r="E58" s="33" t="s">
        <v>217</v>
      </c>
      <c r="F58" s="6"/>
    </row>
    <row r="59" spans="2:6" ht="15" customHeight="1" x14ac:dyDescent="0.3">
      <c r="B59" s="57" t="s">
        <v>249</v>
      </c>
      <c r="D59" s="132">
        <f t="shared" si="6"/>
        <v>3</v>
      </c>
      <c r="E59" s="33" t="s">
        <v>193</v>
      </c>
      <c r="F59" s="6"/>
    </row>
    <row r="60" spans="2:6" ht="15" customHeight="1" x14ac:dyDescent="0.3">
      <c r="B60" s="57" t="s">
        <v>250</v>
      </c>
      <c r="D60" s="132">
        <f t="shared" si="6"/>
        <v>4</v>
      </c>
      <c r="E60" s="33" t="s">
        <v>219</v>
      </c>
      <c r="F60" s="6"/>
    </row>
    <row r="61" spans="2:6" ht="15" customHeight="1" x14ac:dyDescent="0.3">
      <c r="B61" s="57" t="s">
        <v>251</v>
      </c>
      <c r="D61" s="132">
        <f t="shared" si="6"/>
        <v>0</v>
      </c>
      <c r="E61" s="33" t="s">
        <v>235</v>
      </c>
      <c r="F61" s="6"/>
    </row>
    <row r="62" spans="2:6" ht="15" customHeight="1" x14ac:dyDescent="0.3">
      <c r="B62" s="57" t="s">
        <v>252</v>
      </c>
      <c r="D62" s="132">
        <f t="shared" si="6"/>
        <v>4</v>
      </c>
      <c r="E62" s="33" t="s">
        <v>219</v>
      </c>
      <c r="F62" s="6"/>
    </row>
    <row r="63" spans="2:6" ht="15" customHeight="1" x14ac:dyDescent="0.3">
      <c r="B63" s="57" t="s">
        <v>285</v>
      </c>
      <c r="D63" s="132">
        <f t="shared" si="6"/>
        <v>0</v>
      </c>
      <c r="E63" s="33" t="s">
        <v>235</v>
      </c>
      <c r="F63" s="6"/>
    </row>
    <row r="64" spans="2:6" ht="15" customHeight="1" x14ac:dyDescent="0.3">
      <c r="B64" s="1" t="s">
        <v>253</v>
      </c>
      <c r="D64" s="135">
        <f>SUM(D65:D70)/(6*4)</f>
        <v>0.24773242630385486</v>
      </c>
      <c r="E64" s="53" t="str">
        <f>IF(D64&gt;80%,"Very High",IF(D64&lt;=20%,"Very Low",IF(D64&lt;=40%,"Low",IF(D64&lt;=60%,"Medium","High"))))</f>
        <v>Low</v>
      </c>
      <c r="F64" s="6"/>
    </row>
    <row r="65" spans="2:8" ht="15" customHeight="1" x14ac:dyDescent="0.3">
      <c r="B65" s="57" t="s">
        <v>254</v>
      </c>
      <c r="D65" s="132">
        <f t="shared" ref="D65:D68" si="7">IF(E65="Strongly disagree",0,IF(E65="disagree",1,IF(E65="unclear",2,IF(E65="agree",3,4))))</f>
        <v>0</v>
      </c>
      <c r="E65" s="33" t="s">
        <v>235</v>
      </c>
    </row>
    <row r="66" spans="2:8" ht="15" customHeight="1" x14ac:dyDescent="0.3">
      <c r="B66" s="57" t="s">
        <v>255</v>
      </c>
      <c r="D66" s="132">
        <f t="shared" si="7"/>
        <v>0</v>
      </c>
      <c r="E66" s="33" t="s">
        <v>235</v>
      </c>
      <c r="F66" s="6"/>
    </row>
    <row r="67" spans="2:8" ht="15" customHeight="1" x14ac:dyDescent="0.3">
      <c r="B67" s="57" t="s">
        <v>256</v>
      </c>
      <c r="D67" s="132">
        <f t="shared" si="7"/>
        <v>0</v>
      </c>
      <c r="E67" s="33" t="s">
        <v>235</v>
      </c>
      <c r="F67" s="5"/>
    </row>
    <row r="68" spans="2:8" ht="15" customHeight="1" x14ac:dyDescent="0.3">
      <c r="B68" s="57" t="s">
        <v>257</v>
      </c>
      <c r="D68" s="132">
        <f t="shared" si="7"/>
        <v>2</v>
      </c>
      <c r="E68" s="33" t="s">
        <v>191</v>
      </c>
    </row>
    <row r="69" spans="2:8" ht="15" customHeight="1" x14ac:dyDescent="0.3">
      <c r="B69" s="57" t="s">
        <v>258</v>
      </c>
      <c r="D69" s="132">
        <f>IF(E69="Strongly disagree",0,IF(E69="disagree",1,IF(E69="unclear",2,IF(E69="agree",3,4))))</f>
        <v>2</v>
      </c>
      <c r="E69" s="33" t="s">
        <v>191</v>
      </c>
      <c r="F69" s="57"/>
      <c r="G69" s="57"/>
      <c r="H69" s="57"/>
    </row>
    <row r="70" spans="2:8" ht="15" customHeight="1" x14ac:dyDescent="0.3">
      <c r="B70" s="57" t="s">
        <v>259</v>
      </c>
      <c r="D70" s="136">
        <f t="array" ref="D70">(1-INDEX(B84:E93,MATCH(E70,B84:B93,0),4))*4</f>
        <v>1.9455782312925169</v>
      </c>
      <c r="E70" s="33" t="s">
        <v>260</v>
      </c>
      <c r="F70" s="57"/>
      <c r="G70" s="57"/>
      <c r="H70" s="57"/>
    </row>
    <row r="71" spans="2:8" ht="15" customHeight="1" x14ac:dyDescent="0.3">
      <c r="B71" s="1" t="s">
        <v>261</v>
      </c>
      <c r="D71" s="137">
        <f>SUM(D72:D77)/(6*4)</f>
        <v>0.66666666666666663</v>
      </c>
      <c r="E71" s="53" t="str">
        <f>IF(D71&gt;80%,"Very High",IF(D71&lt;=20%,"Very Low",IF(D71&lt;=40%,"Low",IF(D71&lt;=60%,"Medium","High"))))</f>
        <v>High</v>
      </c>
      <c r="F71" s="57"/>
      <c r="G71" s="57"/>
      <c r="H71" s="57"/>
    </row>
    <row r="72" spans="2:8" ht="15" customHeight="1" x14ac:dyDescent="0.3">
      <c r="B72" s="57" t="s">
        <v>262</v>
      </c>
      <c r="D72" s="132">
        <f t="shared" ref="D72:D76" si="8">IF(E72="Strongly disagree",0,IF(E72="disagree",1,IF(E72="unclear",2,IF(E72="agree",3,4))))</f>
        <v>3</v>
      </c>
      <c r="E72" s="33" t="s">
        <v>193</v>
      </c>
      <c r="F72" s="57"/>
      <c r="G72" s="57"/>
      <c r="H72" s="57"/>
    </row>
    <row r="73" spans="2:8" ht="15" customHeight="1" x14ac:dyDescent="0.3">
      <c r="B73" s="57" t="s">
        <v>263</v>
      </c>
      <c r="D73" s="132">
        <f t="shared" si="8"/>
        <v>3</v>
      </c>
      <c r="E73" s="33" t="s">
        <v>193</v>
      </c>
      <c r="F73" s="57"/>
      <c r="G73" s="57"/>
      <c r="H73" s="57"/>
    </row>
    <row r="74" spans="2:8" ht="15" customHeight="1" x14ac:dyDescent="0.3">
      <c r="B74" s="57" t="s">
        <v>286</v>
      </c>
      <c r="D74" s="132">
        <f t="shared" si="8"/>
        <v>3</v>
      </c>
      <c r="E74" s="33" t="s">
        <v>193</v>
      </c>
      <c r="F74" s="57"/>
      <c r="G74" s="57"/>
      <c r="H74" s="57"/>
    </row>
    <row r="75" spans="2:8" ht="15" customHeight="1" x14ac:dyDescent="0.3">
      <c r="B75" s="57" t="s">
        <v>287</v>
      </c>
      <c r="D75" s="132">
        <f t="shared" si="8"/>
        <v>4</v>
      </c>
      <c r="E75" s="33" t="s">
        <v>219</v>
      </c>
      <c r="F75" s="57"/>
      <c r="G75" s="57"/>
      <c r="H75" s="57"/>
    </row>
    <row r="76" spans="2:8" ht="15" customHeight="1" x14ac:dyDescent="0.3">
      <c r="B76" s="57" t="s">
        <v>288</v>
      </c>
      <c r="D76" s="132">
        <f t="shared" si="8"/>
        <v>3</v>
      </c>
      <c r="E76" s="33" t="s">
        <v>193</v>
      </c>
      <c r="F76" s="57"/>
      <c r="G76" s="57"/>
      <c r="H76" s="57"/>
    </row>
    <row r="77" spans="2:8" ht="15" customHeight="1" x14ac:dyDescent="0.3">
      <c r="B77" s="57" t="s">
        <v>289</v>
      </c>
      <c r="D77" s="132">
        <f>IF(E77="Strongly disagree",0,IF(E77="disagree",1,IF(E77="non-perishable",2,IF(E77="agree",3,4))))</f>
        <v>0</v>
      </c>
      <c r="E77" s="33" t="s">
        <v>235</v>
      </c>
      <c r="F77" s="57"/>
      <c r="G77" s="57"/>
      <c r="H77" s="57"/>
    </row>
    <row r="78" spans="2:8" ht="15" customHeight="1" x14ac:dyDescent="0.3">
      <c r="B78" s="183" t="s">
        <v>264</v>
      </c>
      <c r="D78" s="163">
        <f>1-AVERAGE(D43,D50,D57,D64,D71)</f>
        <v>0.58378684807256243</v>
      </c>
      <c r="E78" s="53" t="str">
        <f>IF(D78&gt;80%,"Very Low",IF(D78&lt;=20%,"Very High",IF(D78&lt;=40%,"High",IF(D78&lt;=60%,"Medium","Low"))))</f>
        <v>Medium</v>
      </c>
      <c r="F78" s="57"/>
      <c r="G78" s="57"/>
      <c r="H78" s="57"/>
    </row>
    <row r="79" spans="2:8" ht="15" customHeight="1" x14ac:dyDescent="0.3">
      <c r="D79" s="6"/>
    </row>
    <row r="80" spans="2:8" ht="15" customHeight="1" x14ac:dyDescent="0.3">
      <c r="B80" s="129" t="s">
        <v>265</v>
      </c>
      <c r="D80" s="125">
        <f>E80*4</f>
        <v>2.0337868480725625</v>
      </c>
      <c r="E80" s="162">
        <f>AVERAGE(AVERAGE(D25:D29)/4,AVERAGE(D31:D35)/4,AVERAGE(D37:D41)/4,D78)</f>
        <v>0.50844671201814062</v>
      </c>
    </row>
    <row r="82" spans="2:5" ht="15" customHeight="1" x14ac:dyDescent="0.3">
      <c r="B82" s="58" t="s">
        <v>266</v>
      </c>
      <c r="C82" s="7"/>
      <c r="D82" s="7"/>
      <c r="E82" s="60"/>
    </row>
    <row r="83" spans="2:5" ht="15" customHeight="1" x14ac:dyDescent="0.3">
      <c r="B83" s="138" t="s">
        <v>267</v>
      </c>
      <c r="C83" s="139"/>
      <c r="D83" s="139"/>
      <c r="E83" s="140"/>
    </row>
    <row r="84" spans="2:5" ht="15" customHeight="1" x14ac:dyDescent="0.3">
      <c r="B84" s="141" t="s">
        <v>268</v>
      </c>
      <c r="C84" s="139"/>
      <c r="D84" s="139">
        <v>1</v>
      </c>
      <c r="E84" s="142">
        <f t="shared" ref="E84:E92" si="9">D84/MAX($D$84:$D$93)</f>
        <v>3.4013605442176874E-2</v>
      </c>
    </row>
    <row r="85" spans="2:5" ht="15" customHeight="1" x14ac:dyDescent="0.3">
      <c r="B85" s="141" t="str">
        <f t="shared" ref="B85:B93" si="10">C85&amp;", "&amp;D85&amp;"y"</f>
        <v>Information Technology Like, 6.6y</v>
      </c>
      <c r="C85" s="139" t="s">
        <v>269</v>
      </c>
      <c r="D85" s="139">
        <v>6.6</v>
      </c>
      <c r="E85" s="142">
        <f t="shared" si="9"/>
        <v>0.22448979591836735</v>
      </c>
    </row>
    <row r="86" spans="2:5" ht="15" customHeight="1" x14ac:dyDescent="0.3">
      <c r="B86" s="141" t="str">
        <f t="shared" si="10"/>
        <v>Healthcare, 11.4y</v>
      </c>
      <c r="C86" s="139" t="s">
        <v>270</v>
      </c>
      <c r="D86" s="139">
        <v>11.4</v>
      </c>
      <c r="E86" s="142">
        <f t="shared" si="9"/>
        <v>0.38775510204081637</v>
      </c>
    </row>
    <row r="87" spans="2:5" ht="15" customHeight="1" x14ac:dyDescent="0.3">
      <c r="B87" s="141" t="str">
        <f t="shared" si="10"/>
        <v>Consumer Discretionary, 12.4y</v>
      </c>
      <c r="C87" s="139" t="s">
        <v>271</v>
      </c>
      <c r="D87" s="139">
        <v>12.4</v>
      </c>
      <c r="E87" s="142">
        <f t="shared" si="9"/>
        <v>0.42176870748299322</v>
      </c>
    </row>
    <row r="88" spans="2:5" ht="15" customHeight="1" x14ac:dyDescent="0.3">
      <c r="B88" s="141" t="str">
        <f t="shared" si="10"/>
        <v>Consumer Staples, 15.1y</v>
      </c>
      <c r="C88" s="139" t="s">
        <v>272</v>
      </c>
      <c r="D88" s="139">
        <v>15.1</v>
      </c>
      <c r="E88" s="142">
        <f t="shared" si="9"/>
        <v>0.51360544217687076</v>
      </c>
    </row>
    <row r="89" spans="2:5" ht="15" customHeight="1" x14ac:dyDescent="0.3">
      <c r="B89" s="141" t="str">
        <f t="shared" si="10"/>
        <v>Industrials, 15.4y</v>
      </c>
      <c r="C89" s="139" t="s">
        <v>273</v>
      </c>
      <c r="D89" s="139">
        <v>15.4</v>
      </c>
      <c r="E89" s="142">
        <f t="shared" si="9"/>
        <v>0.52380952380952384</v>
      </c>
    </row>
    <row r="90" spans="2:5" ht="15" customHeight="1" x14ac:dyDescent="0.3">
      <c r="B90" s="141" t="str">
        <f t="shared" si="10"/>
        <v>Telecommunication Services, 16.1y</v>
      </c>
      <c r="C90" s="139" t="s">
        <v>274</v>
      </c>
      <c r="D90" s="139">
        <v>16.100000000000001</v>
      </c>
      <c r="E90" s="142">
        <f t="shared" si="9"/>
        <v>0.54761904761904767</v>
      </c>
    </row>
    <row r="91" spans="2:5" ht="15" customHeight="1" x14ac:dyDescent="0.3">
      <c r="B91" s="141" t="str">
        <f t="shared" si="10"/>
        <v>Energy, 17.6y</v>
      </c>
      <c r="C91" s="139" t="s">
        <v>275</v>
      </c>
      <c r="D91" s="139">
        <v>17.600000000000001</v>
      </c>
      <c r="E91" s="142">
        <f t="shared" si="9"/>
        <v>0.59863945578231303</v>
      </c>
    </row>
    <row r="92" spans="2:5" ht="15" customHeight="1" x14ac:dyDescent="0.3">
      <c r="B92" s="141" t="str">
        <f t="shared" si="10"/>
        <v>Materials, 18.6y</v>
      </c>
      <c r="C92" s="139" t="s">
        <v>276</v>
      </c>
      <c r="D92" s="139">
        <v>18.600000000000001</v>
      </c>
      <c r="E92" s="142">
        <f t="shared" si="9"/>
        <v>0.63265306122448983</v>
      </c>
    </row>
    <row r="93" spans="2:5" ht="15" customHeight="1" x14ac:dyDescent="0.3">
      <c r="B93" s="143" t="str">
        <f t="shared" si="10"/>
        <v>Utilities, 29.4y</v>
      </c>
      <c r="C93" s="144" t="s">
        <v>277</v>
      </c>
      <c r="D93" s="144">
        <v>29.4</v>
      </c>
      <c r="E93" s="145">
        <f>D93/MAX($D$85:$D$93)</f>
        <v>1</v>
      </c>
    </row>
  </sheetData>
  <dataConsolidate/>
  <dataValidations count="9">
    <dataValidation type="list" allowBlank="1" sqref="E43 E50 E57 E64 E71" xr:uid="{00000000-0002-0000-0400-000003000000}">
      <formula1>"Very High,High,Medium,Low,Very Low"</formula1>
    </dataValidation>
    <dataValidation type="list" allowBlank="1" sqref="E4:E7 E32:E35 E37:E41 E51:E56 E26:E29 E10 E44:E49 E65:E69 E58:E63 E72:E76" xr:uid="{00000000-0002-0000-0400-000005000000}">
      <formula1>"Strongly agree,agree,unclear,disagree,Strongly disagree"</formula1>
    </dataValidation>
    <dataValidation type="list" allowBlank="1" sqref="E77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0" xr:uid="{B3C242EB-7F6A-4B7F-83D0-5CE118336997}">
      <formula1>B84:B93</formula1>
    </dataValidation>
    <dataValidation type="list" allowBlank="1" sqref="E17" xr:uid="{00879E06-D1C6-4C7D-A498-33F03425939D}">
      <formula1>"(+) Healthy/Increasing CFO, (-) Low/Decreasing CFO"</formula1>
    </dataValidation>
    <dataValidation type="list" allowBlank="1" sqref="E18" xr:uid="{9ED192E6-28C4-4D51-A598-11CB45566EF9}">
      <formula1>"(+) High/Increasing CFI, (-) Low/Decreasing CFI"</formula1>
    </dataValidation>
    <dataValidation type="list" allowBlank="1" sqref="E19" xr:uid="{75670AFC-9391-474D-B260-21AA7EF2CDC8}">
      <formula1>"(+) High/Increasing CFF, (-) Low/Decreasing CFF"</formula1>
    </dataValidation>
    <dataValidation type="list" allowBlank="1" sqref="E70" xr:uid="{169E40E7-6BB6-45A2-B725-216376F63A8D}">
      <formula1>$B$84:$B$93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2023-02-22T08:11:01Z</dcterms:modified>
  <cp:category/>
  <cp:contentStatus/>
</cp:coreProperties>
</file>