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Model_templates\Listed_template\"/>
    </mc:Choice>
  </mc:AlternateContent>
  <xr:revisionPtr revIDLastSave="0" documentId="13_ncr:1_{08088ABD-2DE7-4A86-A7C2-6CC7D54A0D4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Val Models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 concurrentManualCount="8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J27" i="1" l="1"/>
  <c r="I16" i="1"/>
  <c r="C37" i="1"/>
  <c r="B18" i="1" s="1"/>
  <c r="C37" i="4"/>
  <c r="C30" i="4"/>
  <c r="C32" i="4" s="1"/>
  <c r="C33" i="4" s="1"/>
  <c r="C34" i="4" s="1"/>
  <c r="C29" i="4"/>
  <c r="G30" i="4"/>
  <c r="G31" i="4"/>
  <c r="F32" i="4"/>
  <c r="D32" i="4"/>
  <c r="F31" i="4"/>
  <c r="E31" i="4"/>
  <c r="D31" i="4"/>
  <c r="C31" i="4"/>
  <c r="E30" i="4"/>
  <c r="G9" i="7"/>
  <c r="G4" i="7"/>
  <c r="G7" i="7"/>
  <c r="G6" i="7"/>
  <c r="G5" i="7"/>
  <c r="E5" i="7"/>
  <c r="E6" i="7"/>
  <c r="C47" i="4"/>
  <c r="C35" i="4"/>
  <c r="G27" i="4"/>
  <c r="D6" i="4"/>
  <c r="E6" i="4" s="1"/>
  <c r="C10" i="7"/>
  <c r="E7" i="7"/>
  <c r="E4" i="7"/>
  <c r="G32" i="4" l="1"/>
  <c r="E9" i="7"/>
  <c r="E32" i="4"/>
  <c r="G51" i="2"/>
  <c r="H51" i="2"/>
  <c r="I51" i="2"/>
  <c r="J51" i="2"/>
  <c r="K51" i="2"/>
  <c r="L51" i="2"/>
  <c r="M51" i="2"/>
  <c r="F42" i="1"/>
  <c r="E50" i="2" l="1"/>
  <c r="F50" i="2"/>
  <c r="G50" i="2"/>
  <c r="H50" i="2"/>
  <c r="I50" i="2"/>
  <c r="J50" i="2"/>
  <c r="K50" i="2"/>
  <c r="L50" i="2"/>
  <c r="M50" i="2"/>
  <c r="D50" i="2"/>
  <c r="E49" i="2"/>
  <c r="F49" i="2"/>
  <c r="G49" i="2"/>
  <c r="H49" i="2"/>
  <c r="I49" i="2"/>
  <c r="J49" i="2"/>
  <c r="K49" i="2"/>
  <c r="L49" i="2"/>
  <c r="M49" i="2"/>
  <c r="D49" i="2"/>
  <c r="C50" i="2"/>
  <c r="C49" i="2"/>
  <c r="B16" i="1"/>
  <c r="C15" i="7" l="1"/>
  <c r="I32" i="3"/>
  <c r="E11" i="3"/>
  <c r="E12" i="3"/>
  <c r="E13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C9" i="7"/>
  <c r="G19" i="3"/>
  <c r="G20" i="3"/>
  <c r="G31" i="3"/>
  <c r="G33" i="3"/>
  <c r="G34" i="3"/>
  <c r="G35" i="3"/>
  <c r="D53" i="3"/>
  <c r="I53" i="3" s="1"/>
  <c r="I22" i="7"/>
  <c r="I25" i="7" s="1"/>
  <c r="F4" i="4" s="1"/>
  <c r="F28" i="4" s="1"/>
  <c r="D3" i="5"/>
  <c r="D4" i="5"/>
  <c r="D12" i="5"/>
  <c r="D13" i="5"/>
  <c r="D14" i="5"/>
  <c r="D15" i="5"/>
  <c r="D16" i="5"/>
  <c r="D24" i="5"/>
  <c r="D25" i="5"/>
  <c r="D26" i="5"/>
  <c r="D27" i="5"/>
  <c r="D28" i="5"/>
  <c r="I15" i="3"/>
  <c r="C26" i="3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I21" i="7"/>
  <c r="I3" i="7" s="1"/>
  <c r="F3" i="4" s="1"/>
  <c r="F27" i="4" s="1"/>
  <c r="B15" i="1"/>
  <c r="G21" i="4"/>
  <c r="F21" i="4"/>
  <c r="C12" i="1"/>
  <c r="F44" i="1"/>
  <c r="D33" i="2"/>
  <c r="D34" i="2" s="1"/>
  <c r="E6" i="1"/>
  <c r="C3" i="7" s="1"/>
  <c r="E28" i="1"/>
  <c r="E7" i="3"/>
  <c r="C23" i="4"/>
  <c r="G34" i="2"/>
  <c r="G35" i="2" s="1"/>
  <c r="G52" i="2" s="1"/>
  <c r="H34" i="2"/>
  <c r="H35" i="2" s="1"/>
  <c r="H52" i="2" s="1"/>
  <c r="I34" i="2"/>
  <c r="I35" i="2" s="1"/>
  <c r="I52" i="2" s="1"/>
  <c r="J34" i="2"/>
  <c r="J35" i="2" s="1"/>
  <c r="J52" i="2" s="1"/>
  <c r="K34" i="2"/>
  <c r="K35" i="2" s="1"/>
  <c r="K52" i="2" s="1"/>
  <c r="L34" i="2"/>
  <c r="L35" i="2" s="1"/>
  <c r="L52" i="2" s="1"/>
  <c r="M34" i="2"/>
  <c r="M35" i="2" s="1"/>
  <c r="M52" i="2" s="1"/>
  <c r="F34" i="2"/>
  <c r="F35" i="2" s="1"/>
  <c r="F52" i="2" s="1"/>
  <c r="H58" i="2"/>
  <c r="D58" i="2"/>
  <c r="E58" i="2"/>
  <c r="F58" i="2"/>
  <c r="G58" i="2"/>
  <c r="I58" i="2"/>
  <c r="J58" i="2"/>
  <c r="K58" i="2"/>
  <c r="L58" i="2"/>
  <c r="M58" i="2"/>
  <c r="C58" i="2"/>
  <c r="D20" i="2"/>
  <c r="E20" i="2"/>
  <c r="F20" i="2"/>
  <c r="G20" i="2"/>
  <c r="H20" i="2"/>
  <c r="I20" i="2"/>
  <c r="J20" i="2"/>
  <c r="K20" i="2"/>
  <c r="L20" i="2"/>
  <c r="M20" i="2"/>
  <c r="C20" i="2"/>
  <c r="G16" i="3"/>
  <c r="I15" i="7"/>
  <c r="I17" i="7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D43" i="2" s="1"/>
  <c r="E27" i="2"/>
  <c r="E43" i="2" s="1"/>
  <c r="F27" i="2"/>
  <c r="F43" i="2" s="1"/>
  <c r="I20" i="7"/>
  <c r="I4" i="3"/>
  <c r="D6" i="1"/>
  <c r="B3" i="4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G43" i="2"/>
  <c r="H43" i="2"/>
  <c r="I43" i="2"/>
  <c r="J43" i="2"/>
  <c r="K43" i="2"/>
  <c r="L43" i="2"/>
  <c r="M43" i="2"/>
  <c r="D42" i="2"/>
  <c r="D44" i="4"/>
  <c r="C58" i="3"/>
  <c r="C18" i="7"/>
  <c r="E18" i="7" s="1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C25" i="3"/>
  <c r="I7" i="3" s="1"/>
  <c r="I24" i="7"/>
  <c r="C14" i="2"/>
  <c r="C16" i="2" s="1"/>
  <c r="G27" i="2"/>
  <c r="H27" i="2"/>
  <c r="I27" i="2"/>
  <c r="J27" i="2"/>
  <c r="K27" i="2"/>
  <c r="L27" i="2"/>
  <c r="M27" i="2"/>
  <c r="C42" i="2"/>
  <c r="J12" i="1"/>
  <c r="E5" i="1"/>
  <c r="E4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L15" i="2" s="1"/>
  <c r="K14" i="2"/>
  <c r="K44" i="2" s="1"/>
  <c r="M12" i="2"/>
  <c r="M10" i="2"/>
  <c r="L10" i="2"/>
  <c r="K10" i="2"/>
  <c r="H10" i="2"/>
  <c r="G10" i="2"/>
  <c r="D10" i="2"/>
  <c r="L14" i="2"/>
  <c r="L44" i="2" s="1"/>
  <c r="J14" i="2"/>
  <c r="J13" i="2" s="1"/>
  <c r="J48" i="2" s="1"/>
  <c r="I10" i="2"/>
  <c r="H14" i="2"/>
  <c r="H16" i="2" s="1"/>
  <c r="H45" i="2" s="1"/>
  <c r="G14" i="2"/>
  <c r="G44" i="2" s="1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D63" i="3"/>
  <c r="E33" i="2"/>
  <c r="E34" i="2" s="1"/>
  <c r="G16" i="2"/>
  <c r="G45" i="2" s="1"/>
  <c r="C46" i="2"/>
  <c r="G12" i="2"/>
  <c r="D14" i="2"/>
  <c r="D16" i="2" s="1"/>
  <c r="H12" i="2"/>
  <c r="L12" i="2"/>
  <c r="F10" i="2"/>
  <c r="J10" i="2"/>
  <c r="J12" i="2"/>
  <c r="E14" i="2"/>
  <c r="E13" i="2" s="1"/>
  <c r="E48" i="2" s="1"/>
  <c r="E51" i="2" s="1"/>
  <c r="I14" i="2"/>
  <c r="I16" i="2" s="1"/>
  <c r="I45" i="2" s="1"/>
  <c r="K12" i="2"/>
  <c r="C33" i="2"/>
  <c r="C34" i="2" s="1"/>
  <c r="C22" i="4"/>
  <c r="H17" i="2"/>
  <c r="K17" i="2"/>
  <c r="J17" i="2"/>
  <c r="G17" i="2"/>
  <c r="I12" i="2"/>
  <c r="L17" i="2"/>
  <c r="I17" i="2"/>
  <c r="F33" i="4" l="1"/>
  <c r="F34" i="4" s="1"/>
  <c r="F37" i="4" s="1"/>
  <c r="F39" i="4" s="1"/>
  <c r="G18" i="7"/>
  <c r="E19" i="7"/>
  <c r="D47" i="4"/>
  <c r="D49" i="4" s="1"/>
  <c r="C14" i="4"/>
  <c r="B27" i="4"/>
  <c r="D36" i="5"/>
  <c r="E36" i="5" s="1"/>
  <c r="D6" i="5"/>
  <c r="E6" i="5" s="1"/>
  <c r="D8" i="7"/>
  <c r="D4" i="7"/>
  <c r="D5" i="7"/>
  <c r="D7" i="7"/>
  <c r="D6" i="7"/>
  <c r="G13" i="2"/>
  <c r="G48" i="2" s="1"/>
  <c r="G15" i="2"/>
  <c r="H15" i="2"/>
  <c r="I15" i="2"/>
  <c r="J16" i="2"/>
  <c r="J45" i="2" s="1"/>
  <c r="K16" i="2"/>
  <c r="K45" i="2" s="1"/>
  <c r="J44" i="2"/>
  <c r="J15" i="2"/>
  <c r="L13" i="2"/>
  <c r="L48" i="2" s="1"/>
  <c r="L16" i="2"/>
  <c r="L45" i="2" s="1"/>
  <c r="K13" i="2"/>
  <c r="K48" i="2" s="1"/>
  <c r="K15" i="2"/>
  <c r="M16" i="2"/>
  <c r="M45" i="2" s="1"/>
  <c r="M44" i="2"/>
  <c r="H13" i="2"/>
  <c r="H48" i="2" s="1"/>
  <c r="F15" i="2"/>
  <c r="M13" i="2"/>
  <c r="M48" i="2" s="1"/>
  <c r="I44" i="2"/>
  <c r="H44" i="2"/>
  <c r="I13" i="2"/>
  <c r="I48" i="2" s="1"/>
  <c r="D55" i="5"/>
  <c r="E55" i="5" s="1"/>
  <c r="D49" i="5"/>
  <c r="E49" i="5" s="1"/>
  <c r="D42" i="5"/>
  <c r="E42" i="5" s="1"/>
  <c r="D30" i="5"/>
  <c r="E30" i="5" s="1"/>
  <c r="D5" i="5"/>
  <c r="E5" i="5" s="1"/>
  <c r="D10" i="4"/>
  <c r="D35" i="4" s="1"/>
  <c r="D36" i="4" s="1"/>
  <c r="G36" i="4" s="1"/>
  <c r="G10" i="4"/>
  <c r="G35" i="4" s="1"/>
  <c r="I23" i="7"/>
  <c r="C17" i="7"/>
  <c r="C22" i="7" s="1"/>
  <c r="C20" i="7" s="1"/>
  <c r="D52" i="3"/>
  <c r="C17" i="4" s="1"/>
  <c r="D17" i="4" s="1"/>
  <c r="C46" i="3"/>
  <c r="E26" i="3"/>
  <c r="D26" i="3" s="1"/>
  <c r="E59" i="3"/>
  <c r="C15" i="4" s="1"/>
  <c r="D15" i="4" s="1"/>
  <c r="F44" i="2"/>
  <c r="E12" i="2"/>
  <c r="C13" i="2"/>
  <c r="C16" i="7"/>
  <c r="F8" i="4"/>
  <c r="F9" i="4" s="1"/>
  <c r="F12" i="4" s="1"/>
  <c r="F10" i="4"/>
  <c r="F35" i="4" s="1"/>
  <c r="F36" i="4" s="1"/>
  <c r="F5" i="4"/>
  <c r="F11" i="4"/>
  <c r="F38" i="4" s="1"/>
  <c r="E24" i="3"/>
  <c r="I24" i="3" s="1"/>
  <c r="J24" i="3" s="1"/>
  <c r="E42" i="3"/>
  <c r="D42" i="3" s="1"/>
  <c r="E58" i="3"/>
  <c r="D58" i="3" s="1"/>
  <c r="C44" i="3"/>
  <c r="C45" i="3" s="1"/>
  <c r="I6" i="3"/>
  <c r="E34" i="1"/>
  <c r="I33" i="1"/>
  <c r="I34" i="1" s="1"/>
  <c r="I35" i="1" s="1"/>
  <c r="E50" i="3"/>
  <c r="D6" i="3" s="1"/>
  <c r="D7" i="3" s="1"/>
  <c r="I29" i="1"/>
  <c r="E3" i="3"/>
  <c r="E15" i="2"/>
  <c r="F13" i="2"/>
  <c r="F16" i="2"/>
  <c r="E16" i="2"/>
  <c r="E35" i="2" s="1"/>
  <c r="E52" i="2" s="1"/>
  <c r="E44" i="2"/>
  <c r="D17" i="2"/>
  <c r="D45" i="2"/>
  <c r="D15" i="2"/>
  <c r="D44" i="2"/>
  <c r="D13" i="2"/>
  <c r="D35" i="2"/>
  <c r="C45" i="2"/>
  <c r="C17" i="2"/>
  <c r="F4" i="2"/>
  <c r="C35" i="2"/>
  <c r="C15" i="2"/>
  <c r="C21" i="7" s="1"/>
  <c r="C44" i="2"/>
  <c r="E3" i="7"/>
  <c r="C3" i="4"/>
  <c r="C27" i="4" s="1"/>
  <c r="J18" i="1"/>
  <c r="J16" i="1"/>
  <c r="F47" i="4"/>
  <c r="C20" i="4"/>
  <c r="B3" i="7"/>
  <c r="C11" i="1"/>
  <c r="D48" i="4" l="1"/>
  <c r="E15" i="7"/>
  <c r="E17" i="7" s="1"/>
  <c r="E22" i="7" s="1"/>
  <c r="D59" i="3"/>
  <c r="E44" i="3"/>
  <c r="I44" i="3" s="1"/>
  <c r="J44" i="3" s="1"/>
  <c r="D12" i="2"/>
  <c r="D48" i="2"/>
  <c r="D51" i="2" s="1"/>
  <c r="D52" i="2" s="1"/>
  <c r="C12" i="2"/>
  <c r="C48" i="2"/>
  <c r="C51" i="2" s="1"/>
  <c r="C52" i="2" s="1"/>
  <c r="F12" i="2"/>
  <c r="F48" i="2"/>
  <c r="F51" i="2" s="1"/>
  <c r="E46" i="3"/>
  <c r="D46" i="3" s="1"/>
  <c r="C16" i="4"/>
  <c r="D16" i="4" s="1"/>
  <c r="D62" i="5"/>
  <c r="E62" i="5" s="1"/>
  <c r="D60" i="3"/>
  <c r="E35" i="1"/>
  <c r="C38" i="1"/>
  <c r="D3" i="4"/>
  <c r="D27" i="4" s="1"/>
  <c r="F4" i="7"/>
  <c r="F5" i="7"/>
  <c r="F6" i="7"/>
  <c r="F7" i="7"/>
  <c r="E10" i="7"/>
  <c r="C25" i="7"/>
  <c r="C4" i="4" s="1"/>
  <c r="C18" i="4"/>
  <c r="D18" i="4" s="1"/>
  <c r="D50" i="3"/>
  <c r="E25" i="3"/>
  <c r="E45" i="3" s="1"/>
  <c r="D24" i="3"/>
  <c r="D44" i="3"/>
  <c r="D49" i="3"/>
  <c r="F17" i="2"/>
  <c r="F45" i="2"/>
  <c r="E45" i="2"/>
  <c r="E17" i="2"/>
  <c r="C7" i="4" l="1"/>
  <c r="C28" i="4"/>
  <c r="G18" i="4"/>
  <c r="G15" i="4"/>
  <c r="E20" i="7"/>
  <c r="E23" i="7"/>
  <c r="E21" i="7"/>
  <c r="C24" i="7"/>
  <c r="C8" i="4"/>
  <c r="C9" i="4" s="1"/>
  <c r="J10" i="1"/>
  <c r="I25" i="3"/>
  <c r="J25" i="3" s="1"/>
  <c r="D25" i="3"/>
  <c r="D45" i="3"/>
  <c r="I45" i="3"/>
  <c r="J45" i="3" s="1"/>
  <c r="E25" i="7" l="1"/>
  <c r="E24" i="7" s="1"/>
  <c r="J26" i="3"/>
  <c r="D18" i="5" s="1"/>
  <c r="E64" i="5" s="1"/>
  <c r="D4" i="4" l="1"/>
  <c r="E18" i="5"/>
  <c r="D64" i="5"/>
  <c r="E7" i="5" s="1"/>
  <c r="D7" i="5" s="1"/>
  <c r="D8" i="5" s="1"/>
  <c r="E8" i="5" s="1"/>
  <c r="F43" i="1"/>
  <c r="G40" i="4" l="1"/>
  <c r="D28" i="4"/>
  <c r="D33" i="4" s="1"/>
  <c r="D34" i="4" s="1"/>
  <c r="D37" i="4" s="1"/>
  <c r="G16" i="4"/>
  <c r="E47" i="4" s="1"/>
  <c r="D5" i="4"/>
  <c r="F18" i="4"/>
  <c r="D7" i="4"/>
  <c r="D8" i="4" s="1"/>
  <c r="D9" i="4" s="1"/>
  <c r="D11" i="4"/>
  <c r="D38" i="4" s="1"/>
  <c r="F41" i="1"/>
  <c r="D39" i="4" l="1"/>
  <c r="E6" i="3"/>
  <c r="F16" i="1"/>
  <c r="H16" i="1" s="1"/>
  <c r="E17" i="4"/>
  <c r="D12" i="4"/>
  <c r="H18" i="1" l="1"/>
  <c r="G15" i="7"/>
  <c r="G10" i="7"/>
  <c r="G3" i="7" s="1"/>
  <c r="E3" i="4" s="1"/>
  <c r="G19" i="7"/>
  <c r="G4" i="4" l="1"/>
  <c r="B21" i="4" s="1"/>
  <c r="G2" i="4" s="1"/>
  <c r="G26" i="4" s="1"/>
  <c r="E27" i="4"/>
  <c r="G17" i="7"/>
  <c r="G22" i="7" s="1"/>
  <c r="G23" i="7" l="1"/>
  <c r="G21" i="7"/>
  <c r="G20" i="7"/>
  <c r="G25" i="7" l="1"/>
  <c r="E4" i="4" l="1"/>
  <c r="E28" i="4" s="1"/>
  <c r="G24" i="7"/>
  <c r="G28" i="4" l="1"/>
  <c r="G33" i="4" s="1"/>
  <c r="G34" i="4" s="1"/>
  <c r="G37" i="4" s="1"/>
  <c r="E33" i="4"/>
  <c r="E34" i="4" s="1"/>
  <c r="E7" i="4"/>
  <c r="E8" i="4" s="1"/>
  <c r="E5" i="4"/>
  <c r="E10" i="4"/>
  <c r="E35" i="4" s="1"/>
  <c r="E11" i="4" l="1"/>
  <c r="E38" i="4" s="1"/>
  <c r="E9" i="4"/>
  <c r="G9" i="4"/>
  <c r="G11" i="4" l="1"/>
  <c r="E23" i="4" s="1"/>
  <c r="F23" i="4" s="1"/>
  <c r="G23" i="4" s="1"/>
  <c r="E12" i="4"/>
  <c r="E22" i="4" l="1"/>
  <c r="F22" i="4" s="1"/>
  <c r="G22" i="4" s="1"/>
  <c r="G24" i="4" s="1"/>
  <c r="E36" i="4" l="1"/>
  <c r="E37" i="4" s="1"/>
  <c r="E39" i="4" l="1"/>
  <c r="G38" i="4"/>
  <c r="G39" i="4" l="1"/>
  <c r="G41" i="4" s="1"/>
  <c r="C44" i="4" l="1"/>
  <c r="C49" i="4" s="1"/>
  <c r="F48" i="1" l="1"/>
  <c r="C48" i="4"/>
  <c r="F48" i="4" s="1"/>
  <c r="E44" i="4"/>
  <c r="F44" i="4"/>
  <c r="E14" i="1"/>
  <c r="F49" i="4"/>
  <c r="I38" i="1"/>
  <c r="E49" i="4"/>
  <c r="E48" i="4" l="1"/>
  <c r="I37" i="1"/>
  <c r="B17" i="1" s="1"/>
  <c r="E48" i="1"/>
  <c r="D18" i="1" l="1"/>
  <c r="E37" i="1"/>
  <c r="F47" i="1"/>
  <c r="E47" i="1"/>
  <c r="E51" i="1" s="1"/>
  <c r="D16" i="1"/>
  <c r="E50" i="1"/>
  <c r="H17" i="1" l="1"/>
  <c r="E52" i="1"/>
  <c r="E53" i="1" s="1"/>
  <c r="F51" i="1"/>
  <c r="F50" i="1"/>
  <c r="F52" i="1"/>
  <c r="D17" i="1"/>
  <c r="J17" i="1"/>
  <c r="F53" i="1" l="1"/>
</calcChain>
</file>

<file path=xl/sharedStrings.xml><?xml version="1.0" encoding="utf-8"?>
<sst xmlns="http://schemas.openxmlformats.org/spreadsheetml/2006/main" count="448" uniqueCount="380">
  <si>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</si>
  <si>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</si>
  <si>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</si>
  <si>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</si>
  <si>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</si>
  <si>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</si>
  <si>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</si>
  <si>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</si>
  <si>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</si>
  <si>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</si>
  <si>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</si>
  <si>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</si>
  <si>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</si>
  <si>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</si>
  <si>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</si>
  <si>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</si>
  <si>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</si>
  <si>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</si>
  <si>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</si>
  <si>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</si>
  <si>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</si>
  <si>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</si>
  <si>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</si>
  <si>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</si>
  <si>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</si>
  <si>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</si>
  <si>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</si>
  <si>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</si>
  <si>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</si>
  <si>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</si>
  <si>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</si>
  <si>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</si>
  <si>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</si>
  <si>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</si>
  <si>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</si>
  <si>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</si>
  <si>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</si>
  <si>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</si>
  <si>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</si>
  <si>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</si>
  <si>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</si>
  <si>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</si>
  <si>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</si>
  <si>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</si>
  <si>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</si>
  <si>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</si>
  <si>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</si>
  <si>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</si>
  <si>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</si>
  <si>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</si>
  <si>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</si>
  <si>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</si>
  <si>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</si>
  <si>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</si>
  <si>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</si>
  <si>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</si>
  <si>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</si>
  <si>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</si>
  <si>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</si>
  <si>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</si>
  <si>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</si>
  <si>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</si>
  <si>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</si>
  <si>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</si>
  <si>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</si>
  <si>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</si>
  <si>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</si>
  <si>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</si>
  <si>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</si>
  <si>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</si>
  <si>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</si>
  <si>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</si>
  <si>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</si>
  <si>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</si>
  <si>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</si>
  <si>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</si>
  <si>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</si>
  <si>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</si>
  <si>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</si>
  <si>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</si>
  <si>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</si>
  <si>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</si>
  <si>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</si>
  <si>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</si>
  <si>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</si>
  <si>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</si>
  <si>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</si>
  <si>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</si>
  <si>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</si>
  <si>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</si>
  <si>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</si>
  <si>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</si>
  <si>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</si>
  <si>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</si>
  <si>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</si>
  <si>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</si>
  <si>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</si>
  <si>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</si>
  <si>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</si>
  <si>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</si>
  <si>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</si>
  <si>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</si>
  <si>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</si>
  <si>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</si>
  <si>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</si>
  <si>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</si>
  <si>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</si>
  <si>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</si>
  <si>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</si>
  <si>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</si>
  <si>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</si>
  <si>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</si>
  <si>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</si>
  <si>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</si>
  <si>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</si>
  <si>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</si>
  <si>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</si>
  <si>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</si>
  <si>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</si>
  <si>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</si>
  <si>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</si>
  <si>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</si>
  <si>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</si>
  <si>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</si>
  <si>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</si>
  <si>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</si>
  <si>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</si>
  <si>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</si>
  <si>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</si>
  <si>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</si>
  <si>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</si>
  <si>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</si>
  <si>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</si>
  <si>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</si>
  <si>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</si>
  <si>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</si>
  <si>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</si>
  <si>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</si>
  <si>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</si>
  <si>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</si>
  <si>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</si>
  <si>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</si>
  <si>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</si>
  <si>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</si>
  <si>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</si>
  <si>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</si>
  <si>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</si>
  <si>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</si>
  <si>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</si>
  <si>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</si>
  <si>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</si>
  <si>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</si>
  <si>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</si>
  <si>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</si>
  <si>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</si>
  <si>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</si>
  <si>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</si>
  <si>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</si>
  <si>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</si>
  <si>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</si>
  <si>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</si>
  <si>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</si>
  <si>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</si>
  <si>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</si>
  <si>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</si>
  <si>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</si>
  <si>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</si>
  <si>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</si>
  <si>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</si>
  <si>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</si>
  <si>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</si>
  <si>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</si>
  <si>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</si>
  <si>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</si>
  <si>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</si>
  <si>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</si>
  <si>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</si>
  <si>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</si>
  <si>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</si>
  <si>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</si>
  <si>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</si>
  <si>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</si>
  <si>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</si>
  <si>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</si>
  <si>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</si>
  <si>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</si>
  <si>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</si>
  <si>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</si>
  <si>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</si>
  <si>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</si>
  <si>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</si>
  <si>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</si>
  <si>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</si>
  <si>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</si>
  <si>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</si>
  <si>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</si>
  <si>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</si>
  <si>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</si>
  <si>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</si>
  <si>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</si>
  <si>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</si>
  <si>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</si>
  <si>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</si>
  <si>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</si>
  <si>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</si>
  <si>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</si>
  <si>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</si>
  <si>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FCFF per share</t>
  </si>
  <si>
    <t>P/FCFF</t>
  </si>
  <si>
    <t>LFY P/FCFF</t>
  </si>
  <si>
    <t>Net Non-op. Asset Analysis</t>
  </si>
  <si>
    <t>Output:</t>
  </si>
  <si>
    <t>- Total outstanding debt</t>
  </si>
  <si>
    <t xml:space="preserve">Non-common Interest = </t>
  </si>
  <si>
    <t>FCFF/P Yield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</si>
  <si>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</si>
  <si>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</si>
  <si>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</si>
  <si>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</si>
  <si>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</si>
  <si>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</si>
  <si>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</si>
  <si>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</si>
  <si>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</si>
  <si>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</si>
  <si>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</si>
  <si>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</si>
  <si>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</si>
  <si>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</si>
  <si>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</si>
  <si>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</si>
  <si>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</si>
  <si>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</si>
  <si>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</si>
  <si>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</si>
  <si>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</si>
  <si>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</si>
  <si>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</si>
  <si>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</si>
  <si>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</si>
  <si>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</si>
  <si>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</si>
  <si>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</si>
  <si>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</si>
  <si>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</si>
  <si>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</si>
  <si>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</si>
  <si>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</si>
  <si>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</si>
  <si>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</si>
  <si>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Nominal Rf</t>
  </si>
  <si>
    <t>+ ERP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</si>
  <si>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</si>
  <si>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</si>
  <si>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</si>
  <si>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</si>
  <si>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</si>
  <si>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</si>
  <si>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</si>
  <si>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</si>
  <si>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</si>
  <si>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</si>
  <si>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</si>
  <si>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</si>
  <si>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</si>
  <si>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</si>
  <si>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</si>
  <si>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</si>
  <si>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</si>
  <si>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</si>
  <si>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</si>
  <si>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</si>
  <si>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</si>
  <si>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</si>
  <si>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</si>
  <si>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</si>
  <si>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</si>
  <si>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</si>
  <si>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</si>
  <si>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</si>
  <si>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The streams are not complicated, but very complex to make any judgement</t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</si>
  <si>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</si>
  <si>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</si>
  <si>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</si>
  <si>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</si>
  <si>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</si>
  <si>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</si>
  <si>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</si>
  <si>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</si>
  <si>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</si>
  <si>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</si>
  <si>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</si>
  <si>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80% chance of recession in US, and 50% chance of spilling over</t>
  </si>
  <si>
    <t>2. The probability of correctly forecasting the FCF based on the investment category</t>
  </si>
  <si>
    <t>1. The valuation quality rating (proxy of the "Error Term")</t>
  </si>
  <si>
    <t>60% chance of chinese recession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</si>
  <si>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</si>
  <si>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</si>
  <si>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</si>
  <si>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</si>
  <si>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</si>
  <si>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</si>
  <si>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 xml:space="preserve">Asset Plays </t>
  </si>
  <si>
    <t>= Net Non-operating Assets per share</t>
  </si>
  <si>
    <t>Expected Exit Price</t>
  </si>
  <si>
    <t>Investment Checklist</t>
  </si>
  <si>
    <t>1. Value Trap</t>
  </si>
  <si>
    <t>2. Growth Trap</t>
  </si>
  <si>
    <t>HK</t>
  </si>
  <si>
    <t>Expected Equity Value =</t>
  </si>
  <si>
    <t>Worst Case Exit Price</t>
  </si>
  <si>
    <t>Valuation Ouput</t>
  </si>
  <si>
    <t>Ex-post Cost per share =</t>
  </si>
  <si>
    <t>Ex-ante</t>
  </si>
  <si>
    <t>Ex-post</t>
  </si>
  <si>
    <t>Asset heavy business</t>
  </si>
  <si>
    <t>4. The probability of an ex-post recession affecting the company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</si>
  <si>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</si>
  <si>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</si>
  <si>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</si>
  <si>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</si>
  <si>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</si>
  <si>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</si>
  <si>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</si>
  <si>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</si>
  <si>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</si>
  <si>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</si>
  <si>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</si>
  <si>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</si>
  <si>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Total Assets / Common Equity</t>
  </si>
  <si>
    <t>ROE = EBIT / Common Equity</t>
  </si>
  <si>
    <t>SGR = b * ROE</t>
  </si>
  <si>
    <t>b = Reinvestment/NOPAT</t>
  </si>
  <si>
    <t>0071.HK</t>
  </si>
  <si>
    <t>MIRAMAR HOTEL</t>
  </si>
  <si>
    <t>FY</t>
  </si>
  <si>
    <t>收租業務</t>
  </si>
  <si>
    <t>酒店及服務式公寓業務</t>
  </si>
  <si>
    <t>餐飲業務</t>
  </si>
  <si>
    <t>旅遊業務</t>
  </si>
  <si>
    <t>其他</t>
  </si>
  <si>
    <t>食材及飲料成本</t>
  </si>
  <si>
    <t>員工薪酬</t>
  </si>
  <si>
    <t>公用開支、維修保養及租金</t>
  </si>
  <si>
    <t>旅行團及機票成本</t>
  </si>
  <si>
    <t>HK Tax Rate</t>
  </si>
  <si>
    <t>Consumer Discretionary, 12.4y</t>
  </si>
  <si>
    <t>non-perishable</t>
  </si>
  <si>
    <t>FCFF Model</t>
  </si>
  <si>
    <t>RI Model</t>
  </si>
  <si>
    <t>Interest Rate</t>
  </si>
  <si>
    <t>Owner's Earnings</t>
  </si>
  <si>
    <t>Owner's Earnings per share</t>
  </si>
  <si>
    <t>EVA</t>
  </si>
  <si>
    <t>PV FCFF per share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</si>
  <si>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</si>
  <si>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</si>
  <si>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</si>
  <si>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</si>
  <si>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FCFF Model</t>
    </r>
  </si>
  <si>
    <t>Equity Value Ouput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</si>
  <si>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</si>
  <si>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</si>
  <si>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</si>
  <si>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1.8% + 3 Month Hibor</t>
  </si>
  <si>
    <t xml:space="preserve">Average PB of 0.49 in the last 5 years , Average PB of 0.45 in the last 3 years 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</si>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</sst>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#,##0;[Red]\(#,##0\);\-"/>
    <numFmt numFmtId="176" formatCode="&quot;Current Price = &quot;0.00"/>
    <numFmt numFmtId="177" formatCode="yyyy\-mm\-dd;@"/>
    <numFmt numFmtId="178" formatCode="_(* #,##0_);_(* \(#,##0\);_(* &quot;-&quot;??_);_(@_)"/>
    <numFmt numFmtId="179" formatCode="#,##0.00;[Red]#,##0.00"/>
    <numFmt numFmtId="180" formatCode="&quot;in&quot;\ 0\ &quot;Months&quot;"/>
    <numFmt numFmtId="181" formatCode="&quot;Breakeven Price = &quot;0.00"/>
    <numFmt numFmtId="182" formatCode="&quot;Next Buy Price = &quot;0.00"/>
    <numFmt numFmtId="183" formatCode="0.0%"/>
    <numFmt numFmtId="184" formatCode="&quot;FCFF per share = &quot;#,##0.00"/>
    <numFmt numFmtId="185" formatCode="&quot;CI = &quot;0.00"/>
    <numFmt numFmtId="186" formatCode="&quot;ω = &quot;0.00"/>
    <numFmt numFmtId="187" formatCode="&quot;Total &quot;0.00%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2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dotted">
        <color rgb="FF000000"/>
      </left>
      <right style="thin">
        <color indexed="64"/>
      </right>
      <top/>
      <bottom/>
      <diagonal/>
    </border>
    <border>
      <left/>
      <right/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uble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9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67" fontId="1" fillId="0" borderId="40" xfId="0" applyNumberFormat="1" applyFont="1" applyBorder="1" applyAlignment="1">
      <alignment horizontal="center"/>
    </xf>
    <xf numFmtId="166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67" fontId="1" fillId="0" borderId="43" xfId="0" applyNumberFormat="1" applyFont="1" applyBorder="1" applyAlignment="1">
      <alignment horizontal="center"/>
    </xf>
    <xf numFmtId="176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77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8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66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79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75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7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78" xfId="0" applyNumberFormat="1" applyFont="1" applyFill="1" applyBorder="1" applyAlignment="1">
      <alignment horizontal="right"/>
    </xf>
    <xf numFmtId="0" fontId="5" fillId="0" borderId="79" xfId="0" applyFont="1" applyBorder="1"/>
    <xf numFmtId="0" fontId="5" fillId="0" borderId="80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0" fontId="2" fillId="8" borderId="46" xfId="0" applyNumberFormat="1" applyFont="1" applyFill="1" applyBorder="1" applyAlignment="1">
      <alignment horizontal="center"/>
    </xf>
    <xf numFmtId="164" fontId="7" fillId="0" borderId="81" xfId="0" applyNumberFormat="1" applyFont="1" applyBorder="1" applyAlignment="1">
      <alignment horizontal="center"/>
    </xf>
    <xf numFmtId="177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7" fontId="15" fillId="7" borderId="2" xfId="0" applyNumberFormat="1" applyFont="1" applyFill="1" applyBorder="1" applyAlignment="1">
      <alignment horizontal="center"/>
    </xf>
    <xf numFmtId="177" fontId="18" fillId="4" borderId="5" xfId="0" applyNumberFormat="1" applyFont="1" applyFill="1" applyBorder="1" applyAlignment="1">
      <alignment horizontal="center"/>
    </xf>
    <xf numFmtId="177" fontId="18" fillId="4" borderId="22" xfId="0" applyNumberFormat="1" applyFont="1" applyFill="1" applyBorder="1" applyAlignment="1">
      <alignment horizontal="center"/>
    </xf>
    <xf numFmtId="175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6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81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7" fontId="15" fillId="7" borderId="83" xfId="0" applyNumberFormat="1" applyFont="1" applyFill="1" applyBorder="1" applyAlignment="1">
      <alignment horizontal="center"/>
    </xf>
    <xf numFmtId="173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4" xfId="0" applyFont="1" applyBorder="1" applyAlignment="1">
      <alignment horizontal="right"/>
    </xf>
    <xf numFmtId="173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88" xfId="0" applyNumberFormat="1" applyFont="1" applyFill="1" applyBorder="1" applyAlignment="1">
      <alignment horizontal="center"/>
    </xf>
    <xf numFmtId="3" fontId="1" fillId="0" borderId="88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89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2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0" xfId="0" applyFont="1" applyBorder="1" applyAlignment="1">
      <alignment horizontal="center"/>
    </xf>
    <xf numFmtId="0" fontId="7" fillId="0" borderId="91" xfId="0" applyFont="1" applyBorder="1" applyAlignment="1">
      <alignment horizontal="center"/>
    </xf>
    <xf numFmtId="0" fontId="2" fillId="9" borderId="92" xfId="0" applyFont="1" applyFill="1" applyBorder="1" applyAlignment="1">
      <alignment horizontal="center"/>
    </xf>
    <xf numFmtId="3" fontId="1" fillId="0" borderId="93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77" fontId="18" fillId="0" borderId="9" xfId="0" applyNumberFormat="1" applyFont="1" applyBorder="1" applyAlignment="1">
      <alignment horizontal="center"/>
    </xf>
    <xf numFmtId="182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3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6" xfId="0" applyFont="1" applyBorder="1"/>
    <xf numFmtId="10" fontId="2" fillId="8" borderId="41" xfId="0" applyNumberFormat="1" applyFont="1" applyFill="1" applyBorder="1" applyAlignment="1">
      <alignment horizontal="center"/>
    </xf>
    <xf numFmtId="0" fontId="5" fillId="0" borderId="55" xfId="0" applyFont="1" applyBorder="1"/>
    <xf numFmtId="3" fontId="1" fillId="0" borderId="95" xfId="0" applyNumberFormat="1" applyFont="1" applyBorder="1" applyAlignment="1">
      <alignment horizontal="left"/>
    </xf>
    <xf numFmtId="4" fontId="4" fillId="8" borderId="96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1" fillId="0" borderId="46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97" xfId="0" applyNumberFormat="1" applyFont="1" applyBorder="1" applyAlignment="1">
      <alignment horizontal="center"/>
    </xf>
    <xf numFmtId="0" fontId="15" fillId="21" borderId="98" xfId="0" applyFont="1" applyFill="1" applyBorder="1" applyAlignment="1">
      <alignment horizontal="center"/>
    </xf>
    <xf numFmtId="4" fontId="5" fillId="0" borderId="99" xfId="0" applyNumberFormat="1" applyFont="1" applyBorder="1" applyAlignment="1">
      <alignment horizontal="center"/>
    </xf>
    <xf numFmtId="4" fontId="5" fillId="0" borderId="100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4" fontId="27" fillId="0" borderId="96" xfId="0" applyNumberFormat="1" applyFont="1" applyBorder="1" applyAlignment="1">
      <alignment horizontal="righ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2" xfId="0" applyNumberFormat="1" applyFont="1" applyBorder="1" applyAlignment="1">
      <alignment horizontal="center"/>
    </xf>
    <xf numFmtId="10" fontId="15" fillId="0" borderId="104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2" fontId="7" fillId="0" borderId="13" xfId="0" applyNumberFormat="1" applyFont="1" applyBorder="1" applyAlignment="1">
      <alignment horizontal="center"/>
    </xf>
    <xf numFmtId="10" fontId="7" fillId="0" borderId="11" xfId="0" applyNumberFormat="1" applyFont="1" applyBorder="1" applyAlignment="1">
      <alignment horizontal="left"/>
    </xf>
    <xf numFmtId="10" fontId="5" fillId="0" borderId="0" xfId="0" applyNumberFormat="1" applyFont="1"/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10" fontId="1" fillId="0" borderId="105" xfId="0" applyNumberFormat="1" applyFont="1" applyBorder="1" applyAlignment="1">
      <alignment horizontal="center"/>
    </xf>
    <xf numFmtId="2" fontId="1" fillId="0" borderId="105" xfId="0" applyNumberFormat="1" applyFont="1" applyBorder="1" applyAlignment="1">
      <alignment horizontal="center"/>
    </xf>
    <xf numFmtId="10" fontId="1" fillId="0" borderId="114" xfId="0" applyNumberFormat="1" applyFont="1" applyBorder="1" applyAlignment="1">
      <alignment horizontal="center"/>
    </xf>
    <xf numFmtId="10" fontId="1" fillId="0" borderId="115" xfId="0" applyNumberFormat="1" applyFont="1" applyBorder="1" applyAlignment="1">
      <alignment horizontal="center"/>
    </xf>
    <xf numFmtId="10" fontId="1" fillId="0" borderId="116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9" fillId="0" borderId="65" xfId="0" applyFont="1" applyBorder="1" applyAlignment="1">
      <alignment horizontal="center"/>
    </xf>
    <xf numFmtId="10" fontId="7" fillId="0" borderId="18" xfId="0" applyNumberFormat="1" applyFont="1" applyBorder="1" applyAlignment="1">
      <alignment horizontal="center"/>
    </xf>
    <xf numFmtId="10" fontId="7" fillId="0" borderId="117" xfId="0" applyNumberFormat="1" applyFont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12" fillId="0" borderId="0" xfId="0" applyFont="1" applyAlignment="1">
      <alignment horizontal="right"/>
    </xf>
    <xf numFmtId="0" fontId="5" fillId="0" borderId="33" xfId="0" quotePrefix="1" applyFont="1" applyBorder="1"/>
    <xf numFmtId="0" fontId="5" fillId="10" borderId="0" xfId="0" applyFont="1" applyFill="1"/>
    <xf numFmtId="4" fontId="5" fillId="13" borderId="101" xfId="0" applyNumberFormat="1" applyFont="1" applyFill="1" applyBorder="1" applyAlignment="1">
      <alignment horizontal="center"/>
    </xf>
    <xf numFmtId="3" fontId="7" fillId="13" borderId="66" xfId="0" applyNumberFormat="1" applyFont="1" applyFill="1" applyBorder="1" applyAlignment="1">
      <alignment horizontal="center"/>
    </xf>
    <xf numFmtId="3" fontId="7" fillId="2" borderId="66" xfId="0" applyNumberFormat="1" applyFont="1" applyFill="1" applyBorder="1" applyAlignment="1">
      <alignment horizontal="center"/>
    </xf>
    <xf numFmtId="3" fontId="2" fillId="8" borderId="16" xfId="0" applyNumberFormat="1" applyFont="1" applyFill="1" applyBorder="1" applyAlignment="1">
      <alignment horizontal="center"/>
    </xf>
    <xf numFmtId="3" fontId="2" fillId="15" borderId="16" xfId="0" applyNumberFormat="1" applyFont="1" applyFill="1" applyBorder="1" applyAlignment="1">
      <alignment horizontal="center"/>
    </xf>
    <xf numFmtId="185" fontId="1" fillId="0" borderId="32" xfId="0" applyNumberFormat="1" applyFont="1" applyBorder="1" applyAlignment="1">
      <alignment horizontal="center"/>
    </xf>
    <xf numFmtId="3" fontId="5" fillId="13" borderId="0" xfId="0" applyNumberFormat="1" applyFont="1" applyFill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4" fontId="1" fillId="2" borderId="67" xfId="0" applyNumberFormat="1" applyFont="1" applyFill="1" applyBorder="1" applyAlignment="1">
      <alignment horizontal="center"/>
    </xf>
    <xf numFmtId="4" fontId="1" fillId="13" borderId="67" xfId="0" applyNumberFormat="1" applyFont="1" applyFill="1" applyBorder="1" applyAlignment="1">
      <alignment horizontal="center"/>
    </xf>
    <xf numFmtId="0" fontId="1" fillId="11" borderId="118" xfId="0" applyFont="1" applyFill="1" applyBorder="1" applyAlignment="1">
      <alignment horizontal="center"/>
    </xf>
    <xf numFmtId="4" fontId="1" fillId="0" borderId="119" xfId="0" applyNumberFormat="1" applyFont="1" applyBorder="1" applyAlignment="1">
      <alignment horizontal="center"/>
    </xf>
    <xf numFmtId="4" fontId="1" fillId="0" borderId="66" xfId="0" applyNumberFormat="1" applyFont="1" applyBorder="1" applyAlignment="1">
      <alignment horizontal="center"/>
    </xf>
    <xf numFmtId="10" fontId="1" fillId="0" borderId="120" xfId="0" applyNumberFormat="1" applyFont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2" fontId="1" fillId="0" borderId="71" xfId="0" applyNumberFormat="1" applyFont="1" applyBorder="1" applyAlignment="1">
      <alignment horizontal="center"/>
    </xf>
    <xf numFmtId="10" fontId="1" fillId="0" borderId="121" xfId="0" applyNumberFormat="1" applyFont="1" applyBorder="1" applyAlignment="1">
      <alignment horizontal="center"/>
    </xf>
    <xf numFmtId="4" fontId="1" fillId="0" borderId="122" xfId="0" applyNumberFormat="1" applyFont="1" applyBorder="1" applyAlignment="1">
      <alignment horizontal="center"/>
    </xf>
    <xf numFmtId="184" fontId="1" fillId="0" borderId="43" xfId="0" applyNumberFormat="1" applyFont="1" applyBorder="1" applyAlignment="1">
      <alignment horizontal="center"/>
    </xf>
    <xf numFmtId="10" fontId="1" fillId="0" borderId="123" xfId="0" applyNumberFormat="1" applyFont="1" applyBorder="1" applyAlignment="1">
      <alignment horizontal="center"/>
    </xf>
    <xf numFmtId="4" fontId="1" fillId="10" borderId="124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7" fillId="0" borderId="16" xfId="0" applyNumberFormat="1" applyFont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4" fontId="5" fillId="0" borderId="126" xfId="0" applyNumberFormat="1" applyFont="1" applyBorder="1" applyAlignment="1">
      <alignment horizontal="center"/>
    </xf>
    <xf numFmtId="38" fontId="2" fillId="8" borderId="16" xfId="0" applyNumberFormat="1" applyFont="1" applyFill="1" applyBorder="1" applyAlignment="1">
      <alignment horizontal="right"/>
    </xf>
    <xf numFmtId="186" fontId="2" fillId="8" borderId="67" xfId="0" applyNumberFormat="1" applyFont="1" applyFill="1" applyBorder="1" applyAlignment="1">
      <alignment horizontal="center"/>
    </xf>
    <xf numFmtId="10" fontId="2" fillId="8" borderId="43" xfId="0" applyNumberFormat="1" applyFont="1" applyFill="1" applyBorder="1" applyAlignment="1">
      <alignment horizontal="center"/>
    </xf>
    <xf numFmtId="10" fontId="5" fillId="0" borderId="0" xfId="0" applyNumberFormat="1" applyFont="1" applyAlignment="1">
      <alignment horizontal="center"/>
    </xf>
    <xf numFmtId="0" fontId="2" fillId="9" borderId="106" xfId="0" applyFont="1" applyFill="1" applyBorder="1" applyAlignment="1">
      <alignment horizontal="center" vertical="center" wrapText="1"/>
    </xf>
    <xf numFmtId="0" fontId="2" fillId="9" borderId="107" xfId="0" applyFont="1" applyFill="1" applyBorder="1" applyAlignment="1">
      <alignment horizontal="center" vertical="center" wrapText="1"/>
    </xf>
    <xf numFmtId="0" fontId="2" fillId="9" borderId="108" xfId="0" applyFont="1" applyFill="1" applyBorder="1" applyAlignment="1">
      <alignment horizontal="center" vertical="center" wrapText="1"/>
    </xf>
    <xf numFmtId="0" fontId="2" fillId="9" borderId="109" xfId="0" applyFont="1" applyFill="1" applyBorder="1" applyAlignment="1">
      <alignment horizontal="center" vertical="center" wrapText="1"/>
    </xf>
    <xf numFmtId="0" fontId="2" fillId="9" borderId="110" xfId="0" applyFont="1" applyFill="1" applyBorder="1" applyAlignment="1">
      <alignment horizontal="center" vertical="center" wrapText="1"/>
    </xf>
    <xf numFmtId="0" fontId="2" fillId="9" borderId="11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71" fontId="1" fillId="0" borderId="26" xfId="0" applyNumberFormat="1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6" fontId="3" fillId="0" borderId="44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0" fontId="1" fillId="12" borderId="19" xfId="0" applyFont="1" applyFill="1" applyBorder="1"/>
    <xf numFmtId="171" fontId="1" fillId="0" borderId="19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7" fontId="2" fillId="9" borderId="17" xfId="0" applyNumberFormat="1" applyFont="1" applyFill="1" applyBorder="1" applyAlignment="1">
      <alignment horizontal="center"/>
    </xf>
    <xf numFmtId="177" fontId="7" fillId="8" borderId="17" xfId="0" applyNumberFormat="1" applyFont="1" applyFill="1" applyBorder="1"/>
    <xf numFmtId="0" fontId="13" fillId="9" borderId="112" xfId="0" applyFont="1" applyFill="1" applyBorder="1" applyAlignment="1">
      <alignment horizontal="center" vertical="center" wrapText="1"/>
    </xf>
    <xf numFmtId="0" fontId="13" fillId="9" borderId="49" xfId="0" applyFont="1" applyFill="1" applyBorder="1" applyAlignment="1">
      <alignment horizontal="center" vertical="center"/>
    </xf>
    <xf numFmtId="0" fontId="13" fillId="9" borderId="113" xfId="0" applyFont="1" applyFill="1" applyBorder="1" applyAlignment="1">
      <alignment horizontal="center" vertical="center"/>
    </xf>
    <xf numFmtId="0" fontId="2" fillId="9" borderId="88" xfId="0" applyFont="1" applyFill="1" applyBorder="1" applyAlignment="1">
      <alignment horizontal="left" vertical="center" wrapText="1"/>
    </xf>
    <xf numFmtId="0" fontId="7" fillId="8" borderId="88" xfId="0" applyFont="1" applyFill="1" applyBorder="1"/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165" fontId="5" fillId="0" borderId="46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2" fillId="9" borderId="17" xfId="0" applyFont="1" applyFill="1" applyBorder="1" applyAlignment="1">
      <alignment horizontal="left" vertical="center" wrapText="1"/>
    </xf>
    <xf numFmtId="0" fontId="7" fillId="8" borderId="17" xfId="0" applyFont="1" applyFill="1" applyBorder="1"/>
    <xf numFmtId="10" fontId="2" fillId="16" borderId="85" xfId="0" applyNumberFormat="1" applyFont="1" applyFill="1" applyBorder="1" applyAlignment="1">
      <alignment horizontal="center"/>
    </xf>
    <xf numFmtId="10" fontId="2" fillId="16" borderId="84" xfId="0" applyNumberFormat="1" applyFont="1" applyFill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10" fontId="2" fillId="8" borderId="86" xfId="0" applyNumberFormat="1" applyFont="1" applyFill="1" applyBorder="1" applyAlignment="1">
      <alignment horizontal="center"/>
    </xf>
    <xf numFmtId="10" fontId="2" fillId="8" borderId="87" xfId="0" applyNumberFormat="1" applyFont="1" applyFill="1" applyBorder="1" applyAlignment="1">
      <alignment horizontal="center"/>
    </xf>
    <xf numFmtId="0" fontId="1" fillId="12" borderId="13" xfId="0" applyFont="1" applyFill="1" applyBorder="1"/>
    <xf numFmtId="8" fontId="4" fillId="9" borderId="20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3" xfId="0" applyNumberFormat="1" applyFont="1" applyFill="1" applyBorder="1" applyAlignment="1">
      <alignment horizontal="center" vertical="center"/>
    </xf>
    <xf numFmtId="187" fontId="1" fillId="14" borderId="13" xfId="0" applyNumberFormat="1" applyFont="1" applyFill="1" applyBorder="1" applyAlignment="1">
      <alignment horizontal="center"/>
    </xf>
    <xf numFmtId="170" fontId="1" fillId="0" borderId="20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4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10" fontId="2" fillId="8" borderId="69" xfId="0" applyNumberFormat="1" applyFont="1" applyFill="1" applyBorder="1" applyAlignment="1">
      <alignment horizontal="center" vertical="center"/>
    </xf>
    <xf numFmtId="10" fontId="2" fillId="8" borderId="70" xfId="0" applyNumberFormat="1" applyFont="1" applyFill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3" fontId="1" fillId="0" borderId="13" xfId="0" applyNumberFormat="1" applyFont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0" fontId="5" fillId="0" borderId="19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  <xf numFmtId="4" fontId="15" fillId="0" borderId="12" xfId="0" applyNumberFormat="1" applyFont="1" applyBorder="1" applyAlignment="1">
      <alignment horizontal="center"/>
    </xf>
    <xf numFmtId="4" fontId="15" fillId="0" borderId="104" xfId="0" applyNumberFormat="1" applyFont="1" applyBorder="1" applyAlignment="1">
      <alignment horizontal="center"/>
    </xf>
    <xf numFmtId="0" fontId="5" fillId="0" borderId="125" xfId="0" quotePrefix="1" applyFont="1" applyBorder="1" applyAlignment="1">
      <alignment horizontal="center"/>
    </xf>
    <xf numFmtId="0" fontId="5" fillId="0" borderId="55" xfId="0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0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FFCC"/>
      <color rgb="FF0000FF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abSelected="1" zoomScaleNormal="100" workbookViewId="0">
      <selection activeCell="E14" sqref="E14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276" t="str">
        <f>C3&amp;" : "&amp;C4</f>
        <v>0071.HK : MIRAMAR HOTEL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419" t="s">
        <v>333</v>
      </c>
      <c r="D3" s="420"/>
      <c r="E3" s="15"/>
      <c r="G3" s="7" t="s">
        <v>2</v>
      </c>
      <c r="I3" s="431" t="s">
        <v>3</v>
      </c>
      <c r="J3" s="432"/>
    </row>
    <row r="4" spans="1:12" ht="15.75" customHeight="1">
      <c r="B4" s="5" t="s">
        <v>4</v>
      </c>
      <c r="C4" s="421" t="s">
        <v>334</v>
      </c>
      <c r="D4" s="422"/>
      <c r="E4" s="6"/>
      <c r="G4" s="5" t="s">
        <v>5</v>
      </c>
      <c r="I4" s="31">
        <v>11.18</v>
      </c>
      <c r="J4" s="32" t="s">
        <v>6</v>
      </c>
      <c r="K4" s="145"/>
    </row>
    <row r="5" spans="1:12" ht="15.75" customHeight="1">
      <c r="B5" s="5" t="s">
        <v>7</v>
      </c>
      <c r="C5" s="423">
        <v>44959</v>
      </c>
      <c r="D5" s="422"/>
      <c r="E5" s="118" t="str">
        <f ca="1">IF(C5+30&gt;=TODAY(),"Patience Premium","")</f>
        <v/>
      </c>
      <c r="G5" s="5" t="s">
        <v>8</v>
      </c>
      <c r="I5" s="433">
        <v>690960000</v>
      </c>
      <c r="J5" s="434"/>
      <c r="K5" s="144"/>
      <c r="L5" s="83"/>
    </row>
    <row r="6" spans="1:12" ht="15.75" customHeight="1">
      <c r="B6" s="12" t="s">
        <v>235</v>
      </c>
      <c r="C6" s="245">
        <v>8</v>
      </c>
      <c r="D6" s="246">
        <f>EOMONTH(EDATE(Asset_Model!D9,C6),0)</f>
        <v>45169</v>
      </c>
      <c r="E6" s="314">
        <f>IF(Asset_Model!E9="FY",Asset_Model!D9,Data!C3)</f>
        <v>44926</v>
      </c>
      <c r="G6" s="127" t="s">
        <v>9</v>
      </c>
      <c r="H6" s="126"/>
      <c r="I6" s="435">
        <f>I4*I5/1000000</f>
        <v>7724.9327999999996</v>
      </c>
      <c r="J6" s="436"/>
      <c r="K6" s="144"/>
    </row>
    <row r="7" spans="1:12" ht="15.75" customHeight="1">
      <c r="B7" s="132" t="s">
        <v>10</v>
      </c>
      <c r="C7" s="138">
        <f>(Data!C39*Exchange_Rate)/I4</f>
        <v>0</v>
      </c>
      <c r="D7" s="138">
        <f>(Data!C40*Exchange_Rate)/I4</f>
        <v>0</v>
      </c>
      <c r="E7" s="146"/>
      <c r="F7" s="6"/>
    </row>
    <row r="8" spans="1:12" ht="15.75" customHeight="1">
      <c r="C8" s="92"/>
      <c r="E8" s="6"/>
      <c r="G8" s="21" t="s">
        <v>11</v>
      </c>
      <c r="H8" s="125"/>
      <c r="I8" s="6"/>
      <c r="J8" s="6"/>
    </row>
    <row r="9" spans="1:12" ht="15.75" customHeight="1">
      <c r="B9" s="21" t="s">
        <v>12</v>
      </c>
      <c r="C9" s="272"/>
      <c r="D9" s="270"/>
      <c r="E9" s="5"/>
      <c r="G9" s="5" t="s">
        <v>13</v>
      </c>
      <c r="I9" s="117">
        <f>IF(Data!F3&lt;=0,"NNI",I4/((Data!F3*I12)/(I5/Data!C4)))</f>
        <v>16.09012380650859</v>
      </c>
      <c r="J9" s="47">
        <f>IF(I9="NNI","NNI",1/I9)</f>
        <v>6.214992575728296E-2</v>
      </c>
    </row>
    <row r="10" spans="1:12" ht="15.75" customHeight="1">
      <c r="B10" s="3" t="s">
        <v>250</v>
      </c>
      <c r="C10" s="271" t="s">
        <v>308</v>
      </c>
      <c r="D10" s="271">
        <v>3.6810000000000002E-2</v>
      </c>
      <c r="E10" s="5"/>
      <c r="G10" s="5" t="s">
        <v>14</v>
      </c>
      <c r="I10" s="131">
        <f>I4/(Data!C28*I12*Data!C4/Common_Shares)</f>
        <v>0.38392214498099803</v>
      </c>
      <c r="J10" s="123">
        <f>IF(Asset_Model!D60/'Val Models'!C4&lt;0,"Negative EV",Asset_Model!D60/'Val Models'!C4)</f>
        <v>5.8928475348908789</v>
      </c>
    </row>
    <row r="11" spans="1:12" ht="15.75" customHeight="1" thickBot="1">
      <c r="B11" s="280" t="s">
        <v>251</v>
      </c>
      <c r="C11" s="450">
        <f ca="1">C12-D10</f>
        <v>2.3189999999999995E-2</v>
      </c>
      <c r="D11" s="451"/>
      <c r="E11" s="13"/>
      <c r="G11" s="5" t="s">
        <v>15</v>
      </c>
      <c r="H11" s="6"/>
      <c r="I11" s="448" t="s">
        <v>6</v>
      </c>
      <c r="J11" s="449"/>
    </row>
    <row r="12" spans="1:12" ht="15.75" customHeight="1" thickTop="1">
      <c r="B12" s="281" t="s">
        <v>141</v>
      </c>
      <c r="C12" s="446">
        <f ca="1">IF(C10="CN",8%,6%)*IF($C$5+30&gt;=TODAY(),1.2,1)</f>
        <v>0.06</v>
      </c>
      <c r="D12" s="447"/>
      <c r="G12" s="127" t="s">
        <v>16</v>
      </c>
      <c r="H12" s="126"/>
      <c r="I12" s="128">
        <v>1</v>
      </c>
      <c r="J12" s="129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20" t="s">
        <v>17</v>
      </c>
      <c r="C14" s="337" t="s">
        <v>309</v>
      </c>
      <c r="D14" s="231"/>
      <c r="E14" s="184">
        <f ca="1">'Val Models'!C44</f>
        <v>11.926168990330419</v>
      </c>
      <c r="F14" s="177"/>
      <c r="G14" s="178"/>
      <c r="H14" s="337" t="s">
        <v>379</v>
      </c>
      <c r="I14" s="392">
        <v>0.25</v>
      </c>
      <c r="J14" s="126"/>
    </row>
    <row r="15" spans="1:12" ht="15.75" customHeight="1">
      <c r="A15" s="6"/>
      <c r="B15" s="217" t="str">
        <f>"(in "&amp;J4&amp;")"</f>
        <v>(in HKD)</v>
      </c>
      <c r="C15" s="218" t="s">
        <v>378</v>
      </c>
      <c r="D15" s="86" t="s">
        <v>19</v>
      </c>
      <c r="E15" s="132"/>
      <c r="F15" s="59" t="s">
        <v>22</v>
      </c>
      <c r="H15" s="342" t="s">
        <v>21</v>
      </c>
      <c r="I15" s="86" t="s">
        <v>366</v>
      </c>
      <c r="J15" s="86" t="s">
        <v>20</v>
      </c>
    </row>
    <row r="16" spans="1:12" ht="15.75" customHeight="1">
      <c r="B16" s="124">
        <f>I4</f>
        <v>11.18</v>
      </c>
      <c r="C16" s="467">
        <v>0.2</v>
      </c>
      <c r="D16" s="152">
        <f ca="1">I37/B16-(1+C16)</f>
        <v>-4.1288553521941829E-2</v>
      </c>
      <c r="E16" s="440" t="s">
        <v>23</v>
      </c>
      <c r="F16" s="437">
        <f>('Val Models'!G16)*Exchange_Rate</f>
        <v>7.5033709621396314</v>
      </c>
      <c r="G16" s="440" t="s">
        <v>24</v>
      </c>
      <c r="H16" s="343">
        <f>B16-$F$16</f>
        <v>3.6766290378603683</v>
      </c>
      <c r="I16" s="458">
        <f>0.28+0.21</f>
        <v>0.49</v>
      </c>
      <c r="J16" s="154">
        <f>I16/B16</f>
        <v>4.3828264758497319E-2</v>
      </c>
    </row>
    <row r="17" spans="1:10" ht="15.75" customHeight="1">
      <c r="B17" s="261">
        <f ca="1">MIN((I37+I38)/2,E14,I37/(1+C16))</f>
        <v>10.795328309687243</v>
      </c>
      <c r="C17" s="468"/>
      <c r="D17" s="260">
        <f ca="1">I37/B17-(1+C16)</f>
        <v>0</v>
      </c>
      <c r="E17" s="441"/>
      <c r="F17" s="438"/>
      <c r="G17" s="441"/>
      <c r="H17" s="344">
        <f ca="1">B17-$F$16</f>
        <v>3.2919573475476112</v>
      </c>
      <c r="I17" s="459"/>
      <c r="J17" s="155">
        <f ca="1">I16/B17</f>
        <v>4.5390004448525756E-2</v>
      </c>
    </row>
    <row r="18" spans="1:10" ht="15.75" customHeight="1">
      <c r="B18" s="315">
        <f>C37</f>
        <v>10.79</v>
      </c>
      <c r="C18" s="469"/>
      <c r="D18" s="153">
        <f ca="1">I37/B18-(1+C16)</f>
        <v>5.9258309774712359E-4</v>
      </c>
      <c r="E18" s="442"/>
      <c r="F18" s="439"/>
      <c r="G18" s="442"/>
      <c r="H18" s="345">
        <f>B18-$F$16</f>
        <v>3.2866290378603678</v>
      </c>
      <c r="I18" s="460"/>
      <c r="J18" s="156">
        <f>I16/B18</f>
        <v>4.5412418906394809E-2</v>
      </c>
    </row>
    <row r="19" spans="1:10" ht="15.75" customHeight="1">
      <c r="E19" s="6"/>
      <c r="H19" s="6"/>
    </row>
    <row r="20" spans="1:10" ht="15.75" customHeight="1">
      <c r="A20" s="4"/>
      <c r="B20" s="20" t="s">
        <v>25</v>
      </c>
      <c r="C20" s="5" t="s">
        <v>233</v>
      </c>
      <c r="D20" s="262" t="s">
        <v>302</v>
      </c>
      <c r="E20" s="242" t="s">
        <v>242</v>
      </c>
      <c r="G20" s="6"/>
      <c r="H20" s="6"/>
      <c r="I20" s="317"/>
    </row>
    <row r="21" spans="1:10" ht="15.75" customHeight="1">
      <c r="A21" s="6"/>
      <c r="B21" s="24" t="s">
        <v>26</v>
      </c>
      <c r="C21" s="426"/>
      <c r="D21" s="427"/>
      <c r="E21" s="427"/>
      <c r="F21" s="427"/>
      <c r="G21" s="427"/>
      <c r="H21" s="427"/>
      <c r="I21" s="427"/>
      <c r="J21" s="428"/>
    </row>
    <row r="22" spans="1:10" ht="52.5" customHeight="1">
      <c r="A22" s="6"/>
      <c r="B22" s="24" t="s">
        <v>27</v>
      </c>
      <c r="C22" s="444"/>
      <c r="D22" s="445"/>
      <c r="E22" s="445"/>
      <c r="F22" s="445"/>
      <c r="G22" s="444"/>
      <c r="H22" s="444"/>
      <c r="I22" s="445"/>
      <c r="J22" s="445"/>
    </row>
    <row r="23" spans="1:10" ht="52.5" customHeight="1">
      <c r="A23" s="6"/>
      <c r="B23" s="24" t="s">
        <v>28</v>
      </c>
      <c r="C23" s="429"/>
      <c r="D23" s="430"/>
      <c r="E23" s="430"/>
      <c r="F23" s="430"/>
      <c r="G23" s="429"/>
      <c r="H23" s="429"/>
      <c r="I23" s="430"/>
      <c r="J23" s="430"/>
    </row>
    <row r="24" spans="1:10" ht="52.5" customHeight="1">
      <c r="A24" s="6"/>
      <c r="B24" s="24" t="s">
        <v>325</v>
      </c>
      <c r="C24" s="394"/>
      <c r="D24" s="395"/>
      <c r="E24" s="395"/>
      <c r="F24" s="395"/>
      <c r="G24" s="395"/>
      <c r="H24" s="395"/>
      <c r="I24" s="395"/>
      <c r="J24" s="396"/>
    </row>
    <row r="25" spans="1:10" ht="52.5" customHeight="1">
      <c r="A25" s="6"/>
      <c r="B25" s="350" t="s">
        <v>324</v>
      </c>
      <c r="C25" s="397"/>
      <c r="D25" s="398"/>
      <c r="E25" s="398"/>
      <c r="F25" s="398"/>
      <c r="G25" s="398"/>
      <c r="H25" s="398"/>
      <c r="I25" s="398"/>
      <c r="J25" s="399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20" t="s">
        <v>29</v>
      </c>
      <c r="C27" s="22" t="s">
        <v>30</v>
      </c>
      <c r="D27" s="33">
        <v>660000</v>
      </c>
      <c r="E27" s="12"/>
      <c r="F27" s="8"/>
      <c r="G27" s="12"/>
      <c r="H27" s="347" t="s">
        <v>319</v>
      </c>
      <c r="I27" s="29"/>
      <c r="J27" s="393">
        <f>C16</f>
        <v>0.2</v>
      </c>
    </row>
    <row r="28" spans="1:10" ht="15.75" customHeight="1">
      <c r="B28" s="23" t="s">
        <v>31</v>
      </c>
      <c r="C28" s="424">
        <v>44988</v>
      </c>
      <c r="D28" s="425"/>
      <c r="E28" s="464" t="str">
        <f>IF(C28="","","Action_Planning")</f>
        <v>Action_Planning</v>
      </c>
      <c r="F28" s="465"/>
      <c r="G28" s="465"/>
      <c r="H28" s="466"/>
      <c r="I28" s="443" t="s">
        <v>32</v>
      </c>
      <c r="J28" s="443"/>
    </row>
    <row r="29" spans="1:10" ht="15.75" customHeight="1">
      <c r="B29" s="23" t="s">
        <v>33</v>
      </c>
      <c r="C29" s="457">
        <f>C33/D27</f>
        <v>5.4090909090909092E-2</v>
      </c>
      <c r="D29" s="456"/>
      <c r="E29" s="455">
        <f>E33/D27</f>
        <v>0.14713636363636362</v>
      </c>
      <c r="F29" s="456"/>
      <c r="G29" s="462">
        <f>G33/D27</f>
        <v>0</v>
      </c>
      <c r="H29" s="463"/>
      <c r="I29" s="461">
        <f>C29+E29+G29</f>
        <v>0.2012272727272727</v>
      </c>
      <c r="J29" s="461"/>
    </row>
    <row r="30" spans="1:10" ht="15.75" customHeight="1">
      <c r="B30" s="23" t="s">
        <v>34</v>
      </c>
      <c r="C30" s="471">
        <v>3000</v>
      </c>
      <c r="D30" s="472"/>
      <c r="E30" s="471">
        <v>9000</v>
      </c>
      <c r="F30" s="472"/>
      <c r="G30" s="433"/>
      <c r="H30" s="434"/>
      <c r="I30" s="470">
        <f>C30+E30+G30</f>
        <v>12000</v>
      </c>
      <c r="J30" s="470"/>
    </row>
    <row r="31" spans="1:10" ht="15.75" customHeight="1">
      <c r="B31" s="23" t="s">
        <v>35</v>
      </c>
      <c r="C31" s="473">
        <v>11.9</v>
      </c>
      <c r="D31" s="472"/>
      <c r="E31" s="473">
        <v>10.79</v>
      </c>
      <c r="F31" s="472"/>
      <c r="G31" s="453"/>
      <c r="H31" s="454"/>
      <c r="I31" s="452"/>
      <c r="J31" s="452"/>
    </row>
    <row r="32" spans="1:10" ht="15.75" customHeight="1">
      <c r="B32" s="23" t="s">
        <v>36</v>
      </c>
      <c r="C32" s="412">
        <f>C31*$I$5/1000000</f>
        <v>8222.4240000000009</v>
      </c>
      <c r="D32" s="474"/>
      <c r="E32" s="412">
        <f>E31*$I$5/1000000</f>
        <v>7455.4583999999986</v>
      </c>
      <c r="F32" s="474"/>
      <c r="G32" s="407">
        <f>G31*$I$5/1000000</f>
        <v>0</v>
      </c>
      <c r="H32" s="408"/>
      <c r="I32" s="411"/>
      <c r="J32" s="411"/>
    </row>
    <row r="33" spans="2:11" ht="15.75" customHeight="1">
      <c r="B33" s="2" t="s">
        <v>37</v>
      </c>
      <c r="C33" s="475">
        <f>C30*C31</f>
        <v>35700</v>
      </c>
      <c r="D33" s="476"/>
      <c r="E33" s="413">
        <f>E30*E31</f>
        <v>97109.999999999985</v>
      </c>
      <c r="F33" s="477"/>
      <c r="G33" s="409">
        <f>G30*G31</f>
        <v>0</v>
      </c>
      <c r="H33" s="410"/>
      <c r="I33" s="413">
        <f>C33+E33+G33</f>
        <v>132810</v>
      </c>
      <c r="J33" s="413"/>
    </row>
    <row r="34" spans="2:11" ht="15.75" customHeight="1">
      <c r="B34" s="1" t="s">
        <v>38</v>
      </c>
      <c r="C34" s="415"/>
      <c r="D34" s="416"/>
      <c r="E34" s="414">
        <f>IF(C33=0,"-",(C33+E33)/(C30+E30))</f>
        <v>11.067500000000001</v>
      </c>
      <c r="F34" s="456"/>
      <c r="G34" s="113"/>
      <c r="H34" s="113"/>
      <c r="I34" s="414">
        <f>IF(I33=0,"",I33/I30)</f>
        <v>11.067500000000001</v>
      </c>
      <c r="J34" s="414"/>
    </row>
    <row r="35" spans="2:11" ht="15.75" customHeight="1">
      <c r="B35" s="1" t="s">
        <v>39</v>
      </c>
      <c r="C35" s="417"/>
      <c r="D35" s="418"/>
      <c r="E35" s="412">
        <f>IF(E34="-","-",E34*$I$5/1000000)</f>
        <v>7647.1998000000012</v>
      </c>
      <c r="F35" s="474"/>
      <c r="G35" s="114"/>
      <c r="H35" s="114"/>
      <c r="I35" s="412">
        <f>IF(I34="","",I34*$I$5/1000000)</f>
        <v>7647.1998000000012</v>
      </c>
      <c r="J35" s="412"/>
    </row>
    <row r="36" spans="2:11" ht="15.75" customHeight="1"/>
    <row r="37" spans="2:11" ht="15.75" customHeight="1">
      <c r="B37" s="139" t="s">
        <v>281</v>
      </c>
      <c r="C37" s="403">
        <f>E31</f>
        <v>10.79</v>
      </c>
      <c r="D37" s="404"/>
      <c r="E37" s="149" t="str">
        <f ca="1">IF(C37&gt;B17,"Caution! &gt; Breakeven price!","")</f>
        <v/>
      </c>
      <c r="G37" s="400" t="s">
        <v>372</v>
      </c>
      <c r="H37" s="400"/>
      <c r="I37" s="401">
        <f ca="1">'Val Models'!C48</f>
        <v>12.95439397162469</v>
      </c>
      <c r="J37" s="402"/>
    </row>
    <row r="38" spans="2:11" ht="15.75" customHeight="1">
      <c r="B38" s="139" t="s">
        <v>312</v>
      </c>
      <c r="C38" s="403">
        <f>E34</f>
        <v>11.067500000000001</v>
      </c>
      <c r="D38" s="404"/>
      <c r="G38" s="405" t="s">
        <v>310</v>
      </c>
      <c r="H38" s="406"/>
      <c r="I38" s="401">
        <f ca="1">'Val Models'!C49</f>
        <v>10.343479968966635</v>
      </c>
      <c r="J38" s="402"/>
    </row>
    <row r="39" spans="2:11" ht="15.75" customHeight="1"/>
    <row r="40" spans="2:11" ht="15.75" customHeight="1">
      <c r="B40" s="21" t="s">
        <v>291</v>
      </c>
      <c r="G40" s="311" t="s">
        <v>132</v>
      </c>
      <c r="H40" s="126"/>
      <c r="I40" s="126"/>
      <c r="J40" s="126"/>
      <c r="K40" s="316"/>
    </row>
    <row r="41" spans="2:11" ht="15.75" customHeight="1">
      <c r="B41" s="3" t="s">
        <v>294</v>
      </c>
      <c r="F41" s="202">
        <f>'Qualitative Analysis'!E8</f>
        <v>0.6</v>
      </c>
      <c r="G41" s="323"/>
      <c r="H41" s="112"/>
      <c r="I41" s="112"/>
      <c r="J41" s="112"/>
    </row>
    <row r="42" spans="2:11" ht="15.75" customHeight="1">
      <c r="B42" s="3" t="s">
        <v>293</v>
      </c>
      <c r="F42" s="202">
        <f>80%-(5%*IF(LEFT(D20,2)="St",2,IF(LEFT(D20,2)="Sl",3,IF(LEFT(D20,2)="Cy",4,IF(LEFT(D20,2)="Tu",5,IF(LEFT(D20,2)="Fa",6,0))))))</f>
        <v>0.8</v>
      </c>
      <c r="G42" s="72"/>
      <c r="H42" s="72"/>
      <c r="I42" s="72"/>
      <c r="J42" s="72"/>
    </row>
    <row r="43" spans="2:11" ht="15.75" customHeight="1">
      <c r="B43" s="3" t="s">
        <v>300</v>
      </c>
      <c r="F43" s="321">
        <f>'Qualitative Analysis'!E64</f>
        <v>0.46046768707482999</v>
      </c>
      <c r="G43" s="323" t="s">
        <v>292</v>
      </c>
      <c r="H43" s="112"/>
      <c r="I43" s="112"/>
      <c r="J43" s="112"/>
    </row>
    <row r="44" spans="2:11" ht="15.75" customHeight="1">
      <c r="B44" s="3" t="s">
        <v>316</v>
      </c>
      <c r="F44" s="324">
        <f>AVERAGE(80%*0.5,0.6)</f>
        <v>0.5</v>
      </c>
      <c r="G44" s="72" t="s">
        <v>295</v>
      </c>
      <c r="H44" s="72"/>
      <c r="I44" s="72"/>
      <c r="J44" s="72"/>
    </row>
    <row r="45" spans="2:11" ht="15.75" customHeight="1">
      <c r="G45" s="112"/>
      <c r="H45" s="112"/>
      <c r="I45" s="112"/>
      <c r="J45" s="112"/>
    </row>
    <row r="46" spans="2:11" ht="15.75" customHeight="1">
      <c r="E46" s="250" t="s">
        <v>313</v>
      </c>
      <c r="F46" s="250" t="s">
        <v>314</v>
      </c>
    </row>
    <row r="47" spans="2:11" ht="15.75" customHeight="1">
      <c r="B47" s="3" t="s">
        <v>296</v>
      </c>
      <c r="E47" s="321">
        <f ca="1">I37/C31-1</f>
        <v>8.860453543064617E-2</v>
      </c>
      <c r="F47" s="321">
        <f ca="1">I37/C38-1</f>
        <v>0.17048962924099298</v>
      </c>
      <c r="J47" s="348"/>
    </row>
    <row r="48" spans="2:11" ht="15.75" customHeight="1">
      <c r="B48" s="3" t="s">
        <v>297</v>
      </c>
      <c r="E48" s="321">
        <f ca="1">'Val Models'!C49/C31-1</f>
        <v>-0.13080000260784586</v>
      </c>
      <c r="F48" s="321">
        <f ca="1">'Val Models'!C49/C38-1</f>
        <v>-6.5418570682933441E-2</v>
      </c>
    </row>
    <row r="49" spans="2:9" ht="15.75" customHeight="1"/>
    <row r="50" spans="2:9" ht="15.75" customHeight="1">
      <c r="B50" s="3" t="s">
        <v>299</v>
      </c>
      <c r="E50" s="341">
        <f ca="1">IF(E47&lt;=0,0,AVERAGE(F41:F43,1-F44,E47/C16))</f>
        <v>0.56069807284561213</v>
      </c>
      <c r="F50" s="321">
        <f ca="1">IF(F47&lt;=0,0,AVERAGE(F41:F43,1-F44,F47/C16))</f>
        <v>0.64258316665595894</v>
      </c>
      <c r="G50" s="72"/>
    </row>
    <row r="51" spans="2:9" ht="15.75" customHeight="1">
      <c r="B51" s="3" t="s">
        <v>298</v>
      </c>
      <c r="D51" s="318"/>
      <c r="E51" s="320">
        <f ca="1">IF(E48&gt;=0,100,E47/ABS(E48))</f>
        <v>0.67740469162140027</v>
      </c>
      <c r="F51" s="320">
        <f ca="1">IF(F48&gt;=0,100,F47/ABS(F48))</f>
        <v>2.6061350387386364</v>
      </c>
      <c r="G51" s="72"/>
    </row>
    <row r="52" spans="2:9" ht="15.75" customHeight="1">
      <c r="B52" s="3" t="s">
        <v>317</v>
      </c>
      <c r="E52" s="346">
        <f ca="1">MAX(C16*2/E47,1)</f>
        <v>4.514441592136035</v>
      </c>
      <c r="F52" s="346">
        <f ca="1">MAX(C16*2/F47,1)</f>
        <v>2.346183763673896</v>
      </c>
      <c r="G52" s="322"/>
      <c r="H52" s="83"/>
      <c r="I52" s="83"/>
    </row>
    <row r="53" spans="2:9" ht="15.75" customHeight="1">
      <c r="B53" s="3" t="s">
        <v>318</v>
      </c>
      <c r="E53" s="319">
        <f ca="1">IF(E47&lt;C16,0,MIN(MAX(E50-ABS((1-E50)/E51),0)/E52,H53))</f>
        <v>0</v>
      </c>
      <c r="F53" s="319">
        <f ca="1">IF(D18&lt;0,0,MIN(MAX(F50-ABS((1-F50)/F51),0)/F52,H53))</f>
        <v>0.21543016866072562</v>
      </c>
      <c r="G53" s="322" t="s">
        <v>301</v>
      </c>
      <c r="H53" s="76">
        <v>0.4</v>
      </c>
    </row>
    <row r="54" spans="2:9" ht="15.75" customHeight="1"/>
    <row r="55" spans="2:9" ht="15.75" customHeight="1">
      <c r="B55" s="21" t="s">
        <v>305</v>
      </c>
    </row>
    <row r="56" spans="2:9" ht="15.75" customHeight="1">
      <c r="B56" s="349" t="s">
        <v>306</v>
      </c>
    </row>
    <row r="57" spans="2:9" ht="15.75" customHeight="1">
      <c r="B57" s="3" t="s">
        <v>321</v>
      </c>
    </row>
    <row r="58" spans="2:9" ht="15.75" customHeight="1">
      <c r="B58" s="3" t="s">
        <v>320</v>
      </c>
    </row>
    <row r="59" spans="2:9" ht="15.75" customHeight="1"/>
    <row r="60" spans="2:9" ht="15.75" customHeight="1">
      <c r="B60" s="349" t="s">
        <v>307</v>
      </c>
    </row>
    <row r="61" spans="2:9" ht="15.75" customHeight="1">
      <c r="B61" s="3" t="s">
        <v>322</v>
      </c>
    </row>
    <row r="62" spans="2:9" ht="15.75" customHeight="1">
      <c r="B62" s="3" t="s">
        <v>323</v>
      </c>
    </row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E30:F30"/>
    <mergeCell ref="C31:D31"/>
    <mergeCell ref="E35:F35"/>
    <mergeCell ref="C33:D33"/>
    <mergeCell ref="E33:F33"/>
    <mergeCell ref="E34:F34"/>
    <mergeCell ref="C32:D32"/>
    <mergeCell ref="E32:F3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</mergeCells>
  <phoneticPr fontId="31" type="noConversion"/>
  <conditionalFormatting sqref="B16">
    <cfRule type="cellIs" dxfId="19" priority="12" operator="lessThan">
      <formula>$B$18</formula>
    </cfRule>
  </conditionalFormatting>
  <conditionalFormatting sqref="B18">
    <cfRule type="cellIs" dxfId="18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17" priority="25" operator="lessThan">
      <formula>0</formula>
    </cfRule>
  </conditionalFormatting>
  <conditionalFormatting sqref="E14">
    <cfRule type="cellIs" dxfId="16" priority="17" operator="greaterThan">
      <formula>$B$16</formula>
    </cfRule>
  </conditionalFormatting>
  <conditionalFormatting sqref="E51:F51">
    <cfRule type="cellIs" dxfId="15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14" priority="13">
      <formula>LEN(TRIM(E28))=0</formula>
    </cfRule>
  </conditionalFormatting>
  <conditionalFormatting sqref="F16">
    <cfRule type="cellIs" dxfId="13" priority="20" operator="greaterThan">
      <formula>$B$16</formula>
    </cfRule>
  </conditionalFormatting>
  <conditionalFormatting sqref="G16">
    <cfRule type="cellIs" dxfId="12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7"/>
  <sheetViews>
    <sheetView showGridLines="0" topLeftCell="A16" zoomScaleNormal="100" workbookViewId="0">
      <selection activeCell="D31" sqref="D31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5"/>
      <c r="B1" s="36"/>
      <c r="C1" s="37"/>
      <c r="D1" s="37"/>
      <c r="E1" s="37"/>
      <c r="F1" s="37"/>
    </row>
    <row r="2" spans="1:14" ht="15.75" customHeight="1">
      <c r="A2" s="38"/>
      <c r="B2" s="11" t="s">
        <v>40</v>
      </c>
      <c r="C2" s="39"/>
      <c r="D2" s="39"/>
      <c r="E2" s="39"/>
      <c r="F2" s="39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41</v>
      </c>
      <c r="C3" s="142">
        <v>44926</v>
      </c>
      <c r="D3" s="6"/>
      <c r="E3" s="172">
        <v>1</v>
      </c>
      <c r="F3" s="170">
        <f t="array" ref="F3">AVERAGE(C19:INDEX(C19:M19,1,E3))</f>
        <v>480104</v>
      </c>
      <c r="G3" s="6"/>
      <c r="H3" s="5"/>
      <c r="I3" s="6"/>
      <c r="J3" s="167"/>
      <c r="K3" s="6"/>
      <c r="L3" s="6"/>
      <c r="M3" s="6"/>
    </row>
    <row r="4" spans="1:14" ht="15.75" customHeight="1">
      <c r="A4" s="9"/>
      <c r="B4" s="5" t="s">
        <v>42</v>
      </c>
      <c r="C4" s="34">
        <v>1000</v>
      </c>
      <c r="D4" s="6"/>
      <c r="E4" s="40">
        <f>E3</f>
        <v>1</v>
      </c>
      <c r="F4" s="171">
        <f>AVERAGE(C16:INDEX(C16:M16,1,E4))</f>
        <v>637389</v>
      </c>
      <c r="G4" s="6"/>
      <c r="I4" s="6"/>
      <c r="J4" s="85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1"/>
      <c r="C6" s="254">
        <f>C3</f>
        <v>44926</v>
      </c>
      <c r="D6" s="255">
        <f>EOMONTH(EDATE(C6,-12),0)</f>
        <v>44561</v>
      </c>
      <c r="E6" s="255">
        <f t="shared" ref="E6:M6" si="0">EOMONTH(EDATE(D6,-12),0)</f>
        <v>44196</v>
      </c>
      <c r="F6" s="255">
        <f t="shared" si="0"/>
        <v>43830</v>
      </c>
      <c r="G6" s="255">
        <f t="shared" si="0"/>
        <v>43465</v>
      </c>
      <c r="H6" s="255">
        <f t="shared" si="0"/>
        <v>43100</v>
      </c>
      <c r="I6" s="255">
        <f t="shared" si="0"/>
        <v>42735</v>
      </c>
      <c r="J6" s="255">
        <f t="shared" si="0"/>
        <v>42369</v>
      </c>
      <c r="K6" s="255">
        <f t="shared" si="0"/>
        <v>42004</v>
      </c>
      <c r="L6" s="255">
        <f t="shared" si="0"/>
        <v>41639</v>
      </c>
      <c r="M6" s="255">
        <f t="shared" si="0"/>
        <v>41274</v>
      </c>
    </row>
    <row r="7" spans="1:14" ht="15.75" customHeight="1">
      <c r="A7" s="9"/>
      <c r="B7" s="42" t="s">
        <v>43</v>
      </c>
      <c r="C7" s="34">
        <v>1382231</v>
      </c>
      <c r="D7" s="34">
        <v>1247025</v>
      </c>
      <c r="E7" s="34">
        <v>1314605</v>
      </c>
      <c r="F7" s="34">
        <v>3061704</v>
      </c>
      <c r="G7" s="34"/>
      <c r="H7" s="34"/>
      <c r="I7" s="34"/>
      <c r="J7" s="34"/>
      <c r="K7" s="34"/>
      <c r="L7" s="34"/>
      <c r="M7" s="221"/>
      <c r="N7" s="6"/>
    </row>
    <row r="8" spans="1:14" ht="15.75" customHeight="1">
      <c r="A8" s="9"/>
      <c r="B8" s="43" t="s">
        <v>44</v>
      </c>
      <c r="C8" s="14">
        <f t="shared" ref="C8:L8" si="1">IF(D7="","",C7/D7-1)</f>
        <v>0.10842284637437105</v>
      </c>
      <c r="D8" s="14">
        <f t="shared" si="1"/>
        <v>-5.1407076650400674E-2</v>
      </c>
      <c r="E8" s="14">
        <f t="shared" si="1"/>
        <v>-0.5706296232424819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198"/>
      <c r="N8" s="6"/>
    </row>
    <row r="9" spans="1:14" ht="15.75" customHeight="1">
      <c r="A9" s="9"/>
      <c r="B9" s="43" t="s">
        <v>45</v>
      </c>
      <c r="C9" s="34">
        <v>703033</v>
      </c>
      <c r="D9" s="34">
        <v>557767</v>
      </c>
      <c r="E9" s="34">
        <v>688814</v>
      </c>
      <c r="F9" s="34">
        <v>1897780</v>
      </c>
      <c r="G9" s="34"/>
      <c r="H9" s="34"/>
      <c r="I9" s="34"/>
      <c r="J9" s="34"/>
      <c r="K9" s="34"/>
      <c r="L9" s="34"/>
      <c r="M9" s="221"/>
      <c r="N9" s="6"/>
    </row>
    <row r="10" spans="1:14" ht="15.75" customHeight="1">
      <c r="A10" s="9"/>
      <c r="B10" s="43" t="s">
        <v>46</v>
      </c>
      <c r="C10" s="14">
        <f t="shared" ref="C10:M10" si="2">IF(C7="","",(C7-C9)/C7)</f>
        <v>0.4913780692228723</v>
      </c>
      <c r="D10" s="14">
        <f t="shared" si="2"/>
        <v>0.55272187806980611</v>
      </c>
      <c r="E10" s="14">
        <f t="shared" si="2"/>
        <v>0.4760296819196641</v>
      </c>
      <c r="F10" s="14">
        <f t="shared" si="2"/>
        <v>0.38015562575611489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198" t="str">
        <f t="shared" si="2"/>
        <v/>
      </c>
      <c r="N10" s="6"/>
    </row>
    <row r="11" spans="1:14" ht="15.75" customHeight="1">
      <c r="A11" s="9"/>
      <c r="B11" s="43" t="s">
        <v>47</v>
      </c>
      <c r="C11" s="34">
        <v>41809</v>
      </c>
      <c r="D11" s="34">
        <v>35832</v>
      </c>
      <c r="E11" s="34">
        <v>59216</v>
      </c>
      <c r="F11" s="34">
        <v>0</v>
      </c>
      <c r="G11" s="34"/>
      <c r="H11" s="34"/>
      <c r="I11" s="34"/>
      <c r="J11" s="34"/>
      <c r="K11" s="34"/>
      <c r="L11" s="34"/>
      <c r="M11" s="221"/>
      <c r="N11" s="6"/>
    </row>
    <row r="12" spans="1:14" ht="15.75" customHeight="1">
      <c r="A12" s="9"/>
      <c r="B12" s="43" t="s">
        <v>48</v>
      </c>
      <c r="C12" s="14">
        <f t="shared" ref="C12:M12" si="3">IF(C7="","",C10-C13)</f>
        <v>3.0247476724223399E-2</v>
      </c>
      <c r="D12" s="14">
        <f t="shared" si="3"/>
        <v>2.8733986888795249E-2</v>
      </c>
      <c r="E12" s="14">
        <f t="shared" si="3"/>
        <v>4.5044709247264392E-2</v>
      </c>
      <c r="F12" s="14">
        <f t="shared" si="3"/>
        <v>0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198" t="str">
        <f t="shared" si="3"/>
        <v/>
      </c>
      <c r="N12" s="6"/>
    </row>
    <row r="13" spans="1:14" ht="15.75" customHeight="1">
      <c r="A13" s="9"/>
      <c r="B13" s="43" t="s">
        <v>49</v>
      </c>
      <c r="C13" s="14">
        <f t="shared" ref="C13:M13" si="4">IF(C14="","",C14/C7)</f>
        <v>0.46113059249864891</v>
      </c>
      <c r="D13" s="14">
        <f t="shared" si="4"/>
        <v>0.52398789118101086</v>
      </c>
      <c r="E13" s="14">
        <f t="shared" si="4"/>
        <v>0.43098497267239971</v>
      </c>
      <c r="F13" s="14">
        <f t="shared" si="4"/>
        <v>0.38015562575611489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198" t="str">
        <f t="shared" si="4"/>
        <v/>
      </c>
      <c r="N13" s="6"/>
    </row>
    <row r="14" spans="1:14" ht="15.75" customHeight="1">
      <c r="A14" s="9"/>
      <c r="B14" s="43" t="s">
        <v>50</v>
      </c>
      <c r="C14" s="26">
        <f t="shared" ref="C14:M14" si="5">IF(C7="","",C7-C9-C11)</f>
        <v>637389</v>
      </c>
      <c r="D14" s="26">
        <f t="shared" si="5"/>
        <v>653426</v>
      </c>
      <c r="E14" s="26">
        <f t="shared" si="5"/>
        <v>566575</v>
      </c>
      <c r="F14" s="26">
        <f t="shared" si="5"/>
        <v>1163924</v>
      </c>
      <c r="G14" s="26" t="str">
        <f t="shared" si="5"/>
        <v/>
      </c>
      <c r="H14" s="26" t="str">
        <f t="shared" si="5"/>
        <v/>
      </c>
      <c r="I14" s="26" t="str">
        <f t="shared" si="5"/>
        <v/>
      </c>
      <c r="J14" s="26" t="str">
        <f t="shared" si="5"/>
        <v/>
      </c>
      <c r="K14" s="26" t="str">
        <f t="shared" si="5"/>
        <v/>
      </c>
      <c r="L14" s="26" t="str">
        <f t="shared" si="5"/>
        <v/>
      </c>
      <c r="M14" s="222" t="str">
        <f t="shared" si="5"/>
        <v/>
      </c>
      <c r="N14" s="6"/>
    </row>
    <row r="15" spans="1:14" ht="15.75" customHeight="1">
      <c r="A15" s="9"/>
      <c r="B15" s="43" t="s">
        <v>51</v>
      </c>
      <c r="C15" s="14">
        <f>IF(D14="","",IF(ABS(C14+D14)=ABS(C14)+ABS(D14),IF(C14&lt;0,-1,1)*(C14-D14)/D14,"Turn"))</f>
        <v>-2.4542947479898259E-2</v>
      </c>
      <c r="D15" s="14">
        <f t="shared" ref="D15:M15" si="6">IF(E14="","",IF(ABS(D14+E14)=ABS(D14)+ABS(E14),IF(D14&lt;0,-1,1)*(D14-E14)/E14,"Turn"))</f>
        <v>0.15329126770506993</v>
      </c>
      <c r="E15" s="14">
        <f t="shared" si="6"/>
        <v>-0.51321993532223753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198" t="str">
        <f t="shared" si="6"/>
        <v/>
      </c>
      <c r="N15" s="6"/>
    </row>
    <row r="16" spans="1:14" ht="15.75" customHeight="1">
      <c r="A16" s="9"/>
      <c r="B16" s="43" t="s">
        <v>52</v>
      </c>
      <c r="C16" s="136">
        <f>IF(C14="","",C14*(1-Operation!$D$23))</f>
        <v>637389</v>
      </c>
      <c r="D16" s="136">
        <f>IF(D14="","",D14*(1-Operation!$D$23))</f>
        <v>653426</v>
      </c>
      <c r="E16" s="136">
        <f>IF(E14="","",E14*(1-Operation!$D$23))</f>
        <v>566575</v>
      </c>
      <c r="F16" s="136">
        <f>IF(F14="","",F14*(1-Operation!$D$23))</f>
        <v>1163924</v>
      </c>
      <c r="G16" s="136" t="str">
        <f>IF(G14="","",G14*(1-Operation!$D$23))</f>
        <v/>
      </c>
      <c r="H16" s="136" t="str">
        <f>IF(H14="","",H14*(1-Operation!$D$23))</f>
        <v/>
      </c>
      <c r="I16" s="136" t="str">
        <f>IF(I14="","",I14*(1-Operation!$D$23))</f>
        <v/>
      </c>
      <c r="J16" s="136" t="str">
        <f>IF(J14="","",J14*(1-Operation!$D$23))</f>
        <v/>
      </c>
      <c r="K16" s="136" t="str">
        <f>IF(K14="","",K14*(1-Operation!$D$23))</f>
        <v/>
      </c>
      <c r="L16" s="136" t="str">
        <f>IF(L14="","",L14*(1-Operation!$D$23))</f>
        <v/>
      </c>
      <c r="M16" s="223" t="str">
        <f>IF(M14="","",M14*(1-Operation!$D$23))</f>
        <v/>
      </c>
      <c r="N16" s="6"/>
    </row>
    <row r="17" spans="1:14" ht="15.75" customHeight="1">
      <c r="A17" s="9"/>
      <c r="B17" s="135" t="s">
        <v>53</v>
      </c>
      <c r="C17" s="122">
        <f t="shared" ref="C17:M17" si="7">IF(C7="","",C16/C7)</f>
        <v>0.46113059249864891</v>
      </c>
      <c r="D17" s="122">
        <f t="shared" si="7"/>
        <v>0.52398789118101086</v>
      </c>
      <c r="E17" s="122">
        <f t="shared" si="7"/>
        <v>0.43098497267239971</v>
      </c>
      <c r="F17" s="122">
        <f t="shared" si="7"/>
        <v>0.38015562575611489</v>
      </c>
      <c r="G17" s="122" t="str">
        <f t="shared" si="7"/>
        <v/>
      </c>
      <c r="H17" s="122" t="str">
        <f t="shared" si="7"/>
        <v/>
      </c>
      <c r="I17" s="122" t="str">
        <f t="shared" si="7"/>
        <v/>
      </c>
      <c r="J17" s="122" t="str">
        <f t="shared" si="7"/>
        <v/>
      </c>
      <c r="K17" s="122" t="str">
        <f t="shared" si="7"/>
        <v/>
      </c>
      <c r="L17" s="122" t="str">
        <f t="shared" si="7"/>
        <v/>
      </c>
      <c r="M17" s="224" t="str">
        <f t="shared" si="7"/>
        <v/>
      </c>
      <c r="N17" s="6"/>
    </row>
    <row r="18" spans="1:14" ht="15.75" customHeight="1">
      <c r="A18" s="9"/>
      <c r="B18" s="43" t="s">
        <v>236</v>
      </c>
      <c r="C18" s="137">
        <v>2140</v>
      </c>
      <c r="D18" s="137">
        <v>2235</v>
      </c>
      <c r="E18" s="137">
        <v>3320</v>
      </c>
      <c r="F18" s="137">
        <v>3931</v>
      </c>
      <c r="G18" s="137"/>
      <c r="H18" s="137"/>
      <c r="I18" s="137"/>
      <c r="J18" s="137"/>
      <c r="K18" s="137"/>
      <c r="L18" s="137"/>
      <c r="M18" s="225"/>
      <c r="N18" s="6"/>
    </row>
    <row r="19" spans="1:14" ht="15.75" customHeight="1">
      <c r="A19" s="9"/>
      <c r="B19" s="43" t="s">
        <v>54</v>
      </c>
      <c r="C19" s="34">
        <v>480104</v>
      </c>
      <c r="D19" s="34">
        <v>329958</v>
      </c>
      <c r="E19" s="34">
        <v>301899</v>
      </c>
      <c r="F19" s="34">
        <v>1288227</v>
      </c>
      <c r="G19" s="34"/>
      <c r="H19" s="34"/>
      <c r="I19" s="34"/>
      <c r="J19" s="34"/>
      <c r="K19" s="34"/>
      <c r="L19" s="34"/>
      <c r="M19" s="221"/>
      <c r="N19" s="6"/>
    </row>
    <row r="20" spans="1:14" ht="15.75" customHeight="1">
      <c r="A20" s="9"/>
      <c r="B20" s="43" t="s">
        <v>249</v>
      </c>
      <c r="C20" s="14">
        <f>IF(D19="","",IF(ABS(C19+D19)=ABS(C19)+ABS(D19),IF(C19&lt;0,-1,1)*(C19-D19)/D19,"Turn"))</f>
        <v>0.45504579370707787</v>
      </c>
      <c r="D20" s="14">
        <f t="shared" ref="D20:M20" si="8">IF(E19="","",IF(ABS(D19+E19)=ABS(D19)+ABS(E19),IF(D19&lt;0,-1,1)*(D19-E19)/E19,"Turn"))</f>
        <v>9.2941679170848529E-2</v>
      </c>
      <c r="E20" s="14">
        <f t="shared" si="8"/>
        <v>-0.76564766923841843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198" t="str">
        <f t="shared" si="8"/>
        <v/>
      </c>
      <c r="N20" s="6"/>
    </row>
    <row r="21" spans="1:14" ht="15.75" customHeight="1">
      <c r="A21" s="9"/>
      <c r="B21" s="43" t="s">
        <v>55</v>
      </c>
      <c r="C21" s="169">
        <v>5780229</v>
      </c>
      <c r="D21" s="34">
        <v>5604062</v>
      </c>
      <c r="E21" s="34">
        <v>5413700</v>
      </c>
      <c r="F21" s="34">
        <v>5654990</v>
      </c>
      <c r="G21" s="34"/>
      <c r="H21" s="34"/>
      <c r="I21" s="34"/>
      <c r="J21" s="34"/>
      <c r="K21" s="34"/>
      <c r="L21" s="34"/>
      <c r="M21" s="221"/>
      <c r="N21" s="6"/>
    </row>
    <row r="22" spans="1:14" ht="15.75" customHeight="1">
      <c r="A22" s="9"/>
      <c r="B22" s="43" t="s">
        <v>56</v>
      </c>
      <c r="C22" s="169">
        <v>625412</v>
      </c>
      <c r="D22" s="34">
        <v>526890</v>
      </c>
      <c r="E22" s="34">
        <v>515132</v>
      </c>
      <c r="F22" s="34">
        <v>892243</v>
      </c>
      <c r="G22" s="34"/>
      <c r="H22" s="34"/>
      <c r="I22" s="34"/>
      <c r="J22" s="34"/>
      <c r="K22" s="34"/>
      <c r="L22" s="34"/>
      <c r="M22" s="221"/>
      <c r="N22" s="6"/>
    </row>
    <row r="23" spans="1:14" ht="15.5" customHeight="1">
      <c r="A23" s="9"/>
      <c r="B23" s="43" t="s">
        <v>57</v>
      </c>
      <c r="C23" s="169">
        <v>42005</v>
      </c>
      <c r="D23" s="34">
        <v>39109</v>
      </c>
      <c r="E23" s="34">
        <v>45781</v>
      </c>
      <c r="F23" s="34">
        <v>64264</v>
      </c>
      <c r="G23" s="34"/>
      <c r="H23" s="34"/>
      <c r="I23" s="34"/>
      <c r="J23" s="34"/>
      <c r="K23" s="34"/>
      <c r="L23" s="34"/>
      <c r="M23" s="221"/>
      <c r="N23" s="6"/>
    </row>
    <row r="24" spans="1:14" ht="15.75" customHeight="1">
      <c r="A24" s="9"/>
      <c r="B24" s="134" t="s">
        <v>58</v>
      </c>
      <c r="C24" s="248">
        <v>42005</v>
      </c>
      <c r="D24" s="133">
        <v>39109</v>
      </c>
      <c r="E24" s="133">
        <v>42788</v>
      </c>
      <c r="F24" s="133">
        <v>61537</v>
      </c>
      <c r="G24" s="133"/>
      <c r="H24" s="133"/>
      <c r="I24" s="133"/>
      <c r="J24" s="133"/>
      <c r="K24" s="133"/>
      <c r="L24" s="133"/>
      <c r="M24" s="226"/>
      <c r="N24" s="6"/>
    </row>
    <row r="25" spans="1:14" ht="15.75" customHeight="1">
      <c r="A25" s="9"/>
      <c r="B25" s="43" t="s">
        <v>59</v>
      </c>
      <c r="C25" s="169">
        <v>57055</v>
      </c>
      <c r="D25" s="34">
        <v>47305</v>
      </c>
      <c r="E25" s="34">
        <v>44376</v>
      </c>
      <c r="F25" s="34">
        <v>88172</v>
      </c>
      <c r="G25" s="34"/>
      <c r="H25" s="34"/>
      <c r="I25" s="34"/>
      <c r="J25" s="34"/>
      <c r="K25" s="34"/>
      <c r="L25" s="34"/>
      <c r="M25" s="221"/>
      <c r="N25" s="6"/>
    </row>
    <row r="26" spans="1:14" ht="15.75" customHeight="1">
      <c r="A26" s="9"/>
      <c r="B26" s="134" t="s">
        <v>60</v>
      </c>
      <c r="C26" s="168">
        <v>57055</v>
      </c>
      <c r="D26" s="133">
        <v>47305</v>
      </c>
      <c r="E26" s="133">
        <v>44376</v>
      </c>
      <c r="F26" s="133">
        <v>88172</v>
      </c>
      <c r="G26" s="133"/>
      <c r="H26" s="133"/>
      <c r="I26" s="133"/>
      <c r="J26" s="133"/>
      <c r="K26" s="133"/>
      <c r="L26" s="133"/>
      <c r="M26" s="226"/>
      <c r="N26" s="6"/>
    </row>
    <row r="27" spans="1:14" ht="15.75" customHeight="1">
      <c r="A27" s="9"/>
      <c r="B27" s="43" t="s">
        <v>61</v>
      </c>
      <c r="C27" s="26">
        <f t="shared" ref="C27:M27" si="9">IF(C7="","",C23+C25)</f>
        <v>99060</v>
      </c>
      <c r="D27" s="26">
        <f t="shared" si="9"/>
        <v>86414</v>
      </c>
      <c r="E27" s="26">
        <f t="shared" si="9"/>
        <v>90157</v>
      </c>
      <c r="F27" s="26">
        <f t="shared" si="9"/>
        <v>152436</v>
      </c>
      <c r="G27" s="26" t="str">
        <f t="shared" si="9"/>
        <v/>
      </c>
      <c r="H27" s="26" t="str">
        <f t="shared" si="9"/>
        <v/>
      </c>
      <c r="I27" s="26" t="str">
        <f t="shared" si="9"/>
        <v/>
      </c>
      <c r="J27" s="26" t="str">
        <f t="shared" si="9"/>
        <v/>
      </c>
      <c r="K27" s="26" t="str">
        <f t="shared" si="9"/>
        <v/>
      </c>
      <c r="L27" s="26" t="str">
        <f t="shared" si="9"/>
        <v/>
      </c>
      <c r="M27" s="222" t="str">
        <f t="shared" si="9"/>
        <v/>
      </c>
      <c r="N27" s="6"/>
    </row>
    <row r="28" spans="1:14" ht="15.75" customHeight="1">
      <c r="A28" s="9"/>
      <c r="B28" s="43" t="s">
        <v>62</v>
      </c>
      <c r="C28" s="169">
        <v>20121092</v>
      </c>
      <c r="D28" s="34">
        <v>20042186</v>
      </c>
      <c r="E28" s="34">
        <v>19998157</v>
      </c>
      <c r="F28" s="34">
        <v>20045506</v>
      </c>
      <c r="G28" s="34"/>
      <c r="H28" s="34"/>
      <c r="I28" s="34"/>
      <c r="J28" s="34"/>
      <c r="K28" s="34"/>
      <c r="L28" s="34"/>
      <c r="M28" s="221"/>
      <c r="N28" s="6"/>
    </row>
    <row r="29" spans="1:14" ht="15.75" customHeight="1">
      <c r="A29" s="9"/>
      <c r="B29" s="134" t="s">
        <v>201</v>
      </c>
      <c r="C29" s="168">
        <v>19966164</v>
      </c>
      <c r="D29" s="133">
        <v>19881690</v>
      </c>
      <c r="E29" s="133">
        <v>19850643</v>
      </c>
      <c r="F29" s="133">
        <v>19881530</v>
      </c>
      <c r="G29" s="133"/>
      <c r="H29" s="133"/>
      <c r="I29" s="133"/>
      <c r="J29" s="133"/>
      <c r="K29" s="133"/>
      <c r="L29" s="133"/>
      <c r="M29" s="226"/>
      <c r="N29" s="6"/>
    </row>
    <row r="30" spans="1:14" ht="15.75" customHeight="1">
      <c r="A30" s="9"/>
      <c r="B30" s="43" t="s">
        <v>63</v>
      </c>
      <c r="C30" s="169">
        <v>243053</v>
      </c>
      <c r="D30" s="34">
        <v>201443</v>
      </c>
      <c r="E30" s="34">
        <v>244827</v>
      </c>
      <c r="F30" s="34">
        <v>359739</v>
      </c>
      <c r="G30" s="34"/>
      <c r="H30" s="34"/>
      <c r="I30" s="34"/>
      <c r="J30" s="34"/>
      <c r="K30" s="34"/>
      <c r="L30" s="34"/>
      <c r="M30" s="221"/>
      <c r="N30" s="6"/>
    </row>
    <row r="31" spans="1:14" ht="15.75" customHeight="1">
      <c r="A31" s="9"/>
      <c r="B31" s="43" t="s">
        <v>217</v>
      </c>
      <c r="C31" s="169">
        <v>4027952</v>
      </c>
      <c r="D31" s="34">
        <v>2954360</v>
      </c>
      <c r="E31" s="34">
        <v>4276107</v>
      </c>
      <c r="F31" s="34">
        <v>4917465</v>
      </c>
      <c r="G31" s="34"/>
      <c r="H31" s="34"/>
      <c r="I31" s="34"/>
      <c r="J31" s="34"/>
      <c r="K31" s="34"/>
      <c r="L31" s="34"/>
      <c r="M31" s="221"/>
      <c r="N31" s="6"/>
    </row>
    <row r="32" spans="1:14" ht="15.75" customHeight="1">
      <c r="A32" s="9"/>
      <c r="B32" s="43" t="s">
        <v>64</v>
      </c>
      <c r="C32" s="14">
        <f t="shared" ref="C32:M32" si="10">IF(D7="","",(C30-D30)/C30)</f>
        <v>0.17119722858800343</v>
      </c>
      <c r="D32" s="14">
        <f t="shared" si="10"/>
        <v>-0.21536613334789495</v>
      </c>
      <c r="E32" s="14">
        <f t="shared" si="10"/>
        <v>-0.46935999705914788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198" t="str">
        <f t="shared" si="10"/>
        <v/>
      </c>
      <c r="N32" s="6"/>
    </row>
    <row r="33" spans="1:14" ht="15.75" customHeight="1">
      <c r="A33" s="9"/>
      <c r="B33" s="43" t="s">
        <v>65</v>
      </c>
      <c r="C33" s="228">
        <f>IF(D7="","",(C7-D7)*Asset_Model!$D$65)</f>
        <v>10153.970600000001</v>
      </c>
      <c r="D33" s="228">
        <f>IF(E7="","",(D7-E7)*Asset_Model!$D$65)</f>
        <v>-5075.2579999999998</v>
      </c>
      <c r="E33" s="228">
        <f>IF(F7="","",(E7-F7)*Asset_Model!$D$65)</f>
        <v>-131207.1349</v>
      </c>
      <c r="F33" s="228" t="str">
        <f>IF(G7="","",(F7-G7)*Asset_Model!$D$65)</f>
        <v/>
      </c>
      <c r="G33" s="228" t="str">
        <f>IF(H7="","",(G7-H7)*Asset_Model!$D$65)</f>
        <v/>
      </c>
      <c r="H33" s="228" t="str">
        <f>IF(I7="","",(H7-I7)*Asset_Model!$D$65)</f>
        <v/>
      </c>
      <c r="I33" s="228" t="str">
        <f>IF(J7="","",(I7-J7)*Asset_Model!$D$65)</f>
        <v/>
      </c>
      <c r="J33" s="228" t="str">
        <f>IF(K7="","",(J7-K7)*Asset_Model!$D$65)</f>
        <v/>
      </c>
      <c r="K33" s="228" t="str">
        <f>IF(L7="","",(K7-L7)*Asset_Model!$D$65)</f>
        <v/>
      </c>
      <c r="L33" s="228" t="str">
        <f>IF(M7="","",(L7-M7)*Asset_Model!$D$65)</f>
        <v/>
      </c>
      <c r="M33" s="229" t="str">
        <f>IF(N7="","",(M7-N7)*Asset_Model!$D$65)</f>
        <v/>
      </c>
      <c r="N33" s="6"/>
    </row>
    <row r="34" spans="1:14" ht="15.75" customHeight="1">
      <c r="A34" s="9"/>
      <c r="B34" s="43" t="s">
        <v>77</v>
      </c>
      <c r="C34" s="136">
        <f t="shared" ref="C34:M34" si="11">IF(D7="","",C30-D30+C33+IF($C$55="Yes",C57,0))</f>
        <v>51763.970600000001</v>
      </c>
      <c r="D34" s="136">
        <f t="shared" si="11"/>
        <v>-48459.258000000002</v>
      </c>
      <c r="E34" s="136">
        <f t="shared" si="11"/>
        <v>-246119.1349</v>
      </c>
      <c r="F34" s="136" t="str">
        <f t="shared" si="11"/>
        <v/>
      </c>
      <c r="G34" s="136" t="str">
        <f t="shared" si="11"/>
        <v/>
      </c>
      <c r="H34" s="136" t="str">
        <f t="shared" si="11"/>
        <v/>
      </c>
      <c r="I34" s="136" t="str">
        <f t="shared" si="11"/>
        <v/>
      </c>
      <c r="J34" s="136" t="str">
        <f t="shared" si="11"/>
        <v/>
      </c>
      <c r="K34" s="136" t="str">
        <f t="shared" si="11"/>
        <v/>
      </c>
      <c r="L34" s="136" t="str">
        <f t="shared" si="11"/>
        <v/>
      </c>
      <c r="M34" s="310" t="str">
        <f t="shared" si="11"/>
        <v/>
      </c>
      <c r="N34" s="6"/>
    </row>
    <row r="35" spans="1:14" ht="15.75" customHeight="1">
      <c r="A35" s="9"/>
      <c r="B35" s="227" t="s">
        <v>332</v>
      </c>
      <c r="C35" s="219">
        <f t="shared" ref="C35:M35" si="12">IF(C34="","",C34/C16)</f>
        <v>8.1212525788804016E-2</v>
      </c>
      <c r="D35" s="219">
        <f t="shared" si="12"/>
        <v>-7.4161814803818643E-2</v>
      </c>
      <c r="E35" s="219">
        <f t="shared" si="12"/>
        <v>-0.43439815540749238</v>
      </c>
      <c r="F35" s="219" t="str">
        <f t="shared" si="12"/>
        <v/>
      </c>
      <c r="G35" s="219" t="str">
        <f t="shared" si="12"/>
        <v/>
      </c>
      <c r="H35" s="219" t="str">
        <f t="shared" si="12"/>
        <v/>
      </c>
      <c r="I35" s="219" t="str">
        <f t="shared" si="12"/>
        <v/>
      </c>
      <c r="J35" s="219" t="str">
        <f t="shared" si="12"/>
        <v/>
      </c>
      <c r="K35" s="219" t="str">
        <f t="shared" si="12"/>
        <v/>
      </c>
      <c r="L35" s="219" t="str">
        <f t="shared" si="12"/>
        <v/>
      </c>
      <c r="M35" s="220" t="str">
        <f t="shared" si="12"/>
        <v/>
      </c>
      <c r="N35" s="6"/>
    </row>
    <row r="36" spans="1:14" ht="15.75" customHeight="1">
      <c r="A36" s="9"/>
      <c r="B36" s="46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1" t="s">
        <v>237</v>
      </c>
      <c r="C37" s="158">
        <v>0</v>
      </c>
      <c r="D37" s="158">
        <v>0</v>
      </c>
      <c r="E37" s="158">
        <v>0</v>
      </c>
      <c r="F37" s="158">
        <v>0</v>
      </c>
      <c r="G37" s="158"/>
      <c r="H37" s="158"/>
      <c r="I37" s="158"/>
      <c r="J37" s="158"/>
      <c r="K37" s="158"/>
      <c r="L37" s="158"/>
      <c r="M37" s="159"/>
      <c r="N37" s="6"/>
    </row>
    <row r="38" spans="1:14" ht="15.75" customHeight="1">
      <c r="A38" s="9"/>
      <c r="B38" s="135" t="s">
        <v>68</v>
      </c>
      <c r="C38" s="157">
        <v>0</v>
      </c>
      <c r="D38" s="157">
        <v>0</v>
      </c>
      <c r="E38" s="157">
        <v>0</v>
      </c>
      <c r="F38" s="157">
        <v>0</v>
      </c>
      <c r="G38" s="157"/>
      <c r="H38" s="157"/>
      <c r="I38" s="157"/>
      <c r="J38" s="157"/>
      <c r="K38" s="157"/>
      <c r="L38" s="157"/>
      <c r="M38" s="160"/>
      <c r="N38" s="6"/>
    </row>
    <row r="39" spans="1:14" ht="15.75" customHeight="1">
      <c r="A39" s="9"/>
      <c r="B39" s="135" t="s">
        <v>197</v>
      </c>
      <c r="C39" s="163">
        <f t="shared" ref="C39:M39" si="13">IF(C37="","",C37*$C$4/Common_Shares)</f>
        <v>0</v>
      </c>
      <c r="D39" s="163">
        <f t="shared" si="13"/>
        <v>0</v>
      </c>
      <c r="E39" s="163">
        <f t="shared" si="13"/>
        <v>0</v>
      </c>
      <c r="F39" s="163">
        <f t="shared" si="13"/>
        <v>0</v>
      </c>
      <c r="G39" s="163" t="str">
        <f t="shared" si="13"/>
        <v/>
      </c>
      <c r="H39" s="163" t="str">
        <f t="shared" si="13"/>
        <v/>
      </c>
      <c r="I39" s="163" t="str">
        <f t="shared" si="13"/>
        <v/>
      </c>
      <c r="J39" s="163" t="str">
        <f t="shared" si="13"/>
        <v/>
      </c>
      <c r="K39" s="163" t="str">
        <f t="shared" si="13"/>
        <v/>
      </c>
      <c r="L39" s="163" t="str">
        <f t="shared" si="13"/>
        <v/>
      </c>
      <c r="M39" s="164" t="str">
        <f t="shared" si="13"/>
        <v/>
      </c>
      <c r="N39" s="6"/>
    </row>
    <row r="40" spans="1:14" ht="15.75" customHeight="1">
      <c r="A40" s="9"/>
      <c r="B40" s="162" t="s">
        <v>198</v>
      </c>
      <c r="C40" s="165">
        <f t="shared" ref="C40:M40" si="14">IF(C38="","",C38*$C$4/Common_Shares)</f>
        <v>0</v>
      </c>
      <c r="D40" s="165">
        <f t="shared" si="14"/>
        <v>0</v>
      </c>
      <c r="E40" s="165">
        <f t="shared" si="14"/>
        <v>0</v>
      </c>
      <c r="F40" s="165">
        <f t="shared" si="14"/>
        <v>0</v>
      </c>
      <c r="G40" s="165" t="str">
        <f t="shared" si="14"/>
        <v/>
      </c>
      <c r="H40" s="165" t="str">
        <f t="shared" si="14"/>
        <v/>
      </c>
      <c r="I40" s="165" t="str">
        <f t="shared" si="14"/>
        <v/>
      </c>
      <c r="J40" s="165" t="str">
        <f t="shared" si="14"/>
        <v/>
      </c>
      <c r="K40" s="165" t="str">
        <f t="shared" si="14"/>
        <v/>
      </c>
      <c r="L40" s="165" t="str">
        <f t="shared" si="14"/>
        <v/>
      </c>
      <c r="M40" s="166" t="str">
        <f t="shared" si="14"/>
        <v/>
      </c>
      <c r="N40" s="6"/>
    </row>
    <row r="41" spans="1:14" ht="15.75" customHeight="1">
      <c r="A41" s="9"/>
      <c r="B41" s="86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2" t="s">
        <v>70</v>
      </c>
      <c r="C42" s="47">
        <f>IF(C29="","",C25/C28)</f>
        <v>2.8355816871171802E-3</v>
      </c>
      <c r="D42" s="47">
        <f t="shared" ref="D42:M42" si="15">IF(D29="","",D25/D29)</f>
        <v>2.3793248964248011E-3</v>
      </c>
      <c r="E42" s="47">
        <f t="shared" si="15"/>
        <v>2.235494336379935E-3</v>
      </c>
      <c r="F42" s="47">
        <f t="shared" si="15"/>
        <v>4.4348699521616292E-3</v>
      </c>
      <c r="G42" s="47" t="str">
        <f t="shared" si="15"/>
        <v/>
      </c>
      <c r="H42" s="47" t="str">
        <f t="shared" si="15"/>
        <v/>
      </c>
      <c r="I42" s="47" t="str">
        <f t="shared" si="15"/>
        <v/>
      </c>
      <c r="J42" s="47" t="str">
        <f t="shared" si="15"/>
        <v/>
      </c>
      <c r="K42" s="47" t="str">
        <f t="shared" si="15"/>
        <v/>
      </c>
      <c r="L42" s="47" t="str">
        <f t="shared" si="15"/>
        <v/>
      </c>
      <c r="M42" s="197" t="str">
        <f t="shared" si="15"/>
        <v/>
      </c>
      <c r="N42" s="6"/>
    </row>
    <row r="43" spans="1:14" ht="15.75" customHeight="1">
      <c r="A43" s="9"/>
      <c r="B43" s="43" t="s">
        <v>232</v>
      </c>
      <c r="C43" s="14">
        <f t="shared" ref="C43:M43" si="16">IF(C29="","",C27/C29)</f>
        <v>4.9613936858377006E-3</v>
      </c>
      <c r="D43" s="14">
        <f t="shared" si="16"/>
        <v>4.3464111954265462E-3</v>
      </c>
      <c r="E43" s="14">
        <f t="shared" si="16"/>
        <v>4.5417672364567738E-3</v>
      </c>
      <c r="F43" s="14">
        <f t="shared" si="16"/>
        <v>7.6672167584687896E-3</v>
      </c>
      <c r="G43" s="14" t="str">
        <f t="shared" si="16"/>
        <v/>
      </c>
      <c r="H43" s="14" t="str">
        <f t="shared" si="16"/>
        <v/>
      </c>
      <c r="I43" s="14" t="str">
        <f t="shared" si="16"/>
        <v/>
      </c>
      <c r="J43" s="14" t="str">
        <f t="shared" si="16"/>
        <v/>
      </c>
      <c r="K43" s="14" t="str">
        <f t="shared" si="16"/>
        <v/>
      </c>
      <c r="L43" s="14" t="str">
        <f t="shared" si="16"/>
        <v/>
      </c>
      <c r="M43" s="198" t="str">
        <f t="shared" si="16"/>
        <v/>
      </c>
      <c r="N43" s="6"/>
    </row>
    <row r="44" spans="1:14" ht="15.75" customHeight="1">
      <c r="A44" s="9"/>
      <c r="B44" s="43" t="s">
        <v>71</v>
      </c>
      <c r="C44" s="49">
        <f t="shared" ref="C44:M44" si="17">IF(C14="","",IF(C27&lt;=0,"-",C14/C27))</f>
        <v>6.4343731072077528</v>
      </c>
      <c r="D44" s="49">
        <f t="shared" si="17"/>
        <v>7.5615756706089288</v>
      </c>
      <c r="E44" s="49">
        <f t="shared" si="17"/>
        <v>6.2843151391461562</v>
      </c>
      <c r="F44" s="49">
        <f t="shared" si="17"/>
        <v>7.635492928179695</v>
      </c>
      <c r="G44" s="49" t="str">
        <f t="shared" si="17"/>
        <v/>
      </c>
      <c r="H44" s="49" t="str">
        <f t="shared" si="17"/>
        <v/>
      </c>
      <c r="I44" s="49" t="str">
        <f t="shared" si="17"/>
        <v/>
      </c>
      <c r="J44" s="49" t="str">
        <f t="shared" si="17"/>
        <v/>
      </c>
      <c r="K44" s="49" t="str">
        <f t="shared" si="17"/>
        <v/>
      </c>
      <c r="L44" s="49" t="str">
        <f t="shared" si="17"/>
        <v/>
      </c>
      <c r="M44" s="199" t="str">
        <f t="shared" si="17"/>
        <v/>
      </c>
      <c r="N44" s="6"/>
    </row>
    <row r="45" spans="1:14" ht="15.75" customHeight="1">
      <c r="A45" s="9"/>
      <c r="B45" s="43" t="s">
        <v>72</v>
      </c>
      <c r="C45" s="14">
        <f t="shared" ref="C45:M45" si="18">IF(C16="","",IF(C18&lt;=0,"-",C18/C16))</f>
        <v>3.3574473359282951E-3</v>
      </c>
      <c r="D45" s="14">
        <f t="shared" si="18"/>
        <v>3.4204332242671704E-3</v>
      </c>
      <c r="E45" s="14">
        <f t="shared" si="18"/>
        <v>5.8597714336142614E-3</v>
      </c>
      <c r="F45" s="14">
        <f t="shared" si="18"/>
        <v>3.377368281777848E-3</v>
      </c>
      <c r="G45" s="14" t="str">
        <f t="shared" si="18"/>
        <v/>
      </c>
      <c r="H45" s="14" t="str">
        <f t="shared" si="18"/>
        <v/>
      </c>
      <c r="I45" s="14" t="str">
        <f t="shared" si="18"/>
        <v/>
      </c>
      <c r="J45" s="14" t="str">
        <f t="shared" si="18"/>
        <v/>
      </c>
      <c r="K45" s="14" t="str">
        <f t="shared" si="18"/>
        <v/>
      </c>
      <c r="L45" s="14" t="str">
        <f t="shared" si="18"/>
        <v/>
      </c>
      <c r="M45" s="198" t="str">
        <f t="shared" si="18"/>
        <v/>
      </c>
      <c r="N45" s="6"/>
    </row>
    <row r="46" spans="1:14" ht="15.75" customHeight="1">
      <c r="A46" s="9"/>
      <c r="B46" s="45" t="s">
        <v>73</v>
      </c>
      <c r="C46" s="50">
        <f t="shared" ref="C46:M46" si="19">IF(C21="","",C21/C22)</f>
        <v>9.2422738930497008</v>
      </c>
      <c r="D46" s="50">
        <f t="shared" si="19"/>
        <v>10.63611379984437</v>
      </c>
      <c r="E46" s="50">
        <f t="shared" si="19"/>
        <v>10.509345177546725</v>
      </c>
      <c r="F46" s="50">
        <f t="shared" si="19"/>
        <v>6.3379482943547893</v>
      </c>
      <c r="G46" s="50" t="str">
        <f t="shared" si="19"/>
        <v/>
      </c>
      <c r="H46" s="50" t="str">
        <f t="shared" si="19"/>
        <v/>
      </c>
      <c r="I46" s="50" t="str">
        <f t="shared" si="19"/>
        <v/>
      </c>
      <c r="J46" s="50" t="str">
        <f t="shared" si="19"/>
        <v/>
      </c>
      <c r="K46" s="50" t="str">
        <f t="shared" si="19"/>
        <v/>
      </c>
      <c r="L46" s="50" t="str">
        <f t="shared" si="19"/>
        <v/>
      </c>
      <c r="M46" s="200" t="str">
        <f t="shared" si="19"/>
        <v/>
      </c>
      <c r="N46" s="6"/>
    </row>
    <row r="47" spans="1:14" ht="15.75" customHeight="1">
      <c r="A47" s="9"/>
      <c r="B47" s="357" t="s">
        <v>326</v>
      </c>
      <c r="C47" s="351"/>
      <c r="D47" s="351"/>
      <c r="E47" s="351"/>
      <c r="F47" s="351"/>
      <c r="G47" s="351"/>
      <c r="H47" s="351"/>
      <c r="I47" s="351"/>
      <c r="J47" s="351"/>
      <c r="K47" s="351"/>
      <c r="L47" s="351"/>
      <c r="M47" s="351"/>
      <c r="N47" s="6"/>
    </row>
    <row r="48" spans="1:14" ht="15.75" customHeight="1">
      <c r="A48" s="9"/>
      <c r="B48" s="161" t="s">
        <v>327</v>
      </c>
      <c r="C48" s="354">
        <f>C13</f>
        <v>0.46113059249864891</v>
      </c>
      <c r="D48" s="354">
        <f>D13</f>
        <v>0.52398789118101086</v>
      </c>
      <c r="E48" s="354">
        <f t="shared" ref="E48:M48" si="20">E13</f>
        <v>0.43098497267239971</v>
      </c>
      <c r="F48" s="354">
        <f t="shared" si="20"/>
        <v>0.38015562575611489</v>
      </c>
      <c r="G48" s="354" t="str">
        <f t="shared" si="20"/>
        <v/>
      </c>
      <c r="H48" s="354" t="str">
        <f t="shared" si="20"/>
        <v/>
      </c>
      <c r="I48" s="354" t="str">
        <f t="shared" si="20"/>
        <v/>
      </c>
      <c r="J48" s="354" t="str">
        <f t="shared" si="20"/>
        <v/>
      </c>
      <c r="K48" s="354" t="str">
        <f t="shared" si="20"/>
        <v/>
      </c>
      <c r="L48" s="354" t="str">
        <f t="shared" si="20"/>
        <v/>
      </c>
      <c r="M48" s="354" t="str">
        <f t="shared" si="20"/>
        <v/>
      </c>
      <c r="N48" s="6"/>
    </row>
    <row r="49" spans="1:14" ht="15.75" customHeight="1">
      <c r="A49" s="9"/>
      <c r="B49" s="135" t="s">
        <v>328</v>
      </c>
      <c r="C49" s="352">
        <f>C7/(C29+C21+C22)</f>
        <v>5.2413211761576428E-2</v>
      </c>
      <c r="D49" s="352">
        <f>IF(D7="","",D7/(D29+D21+D22))</f>
        <v>4.793919049053149E-2</v>
      </c>
      <c r="E49" s="352">
        <f t="shared" ref="E49:M49" si="21">IF(E7="","",E7/(E29+E21+E22))</f>
        <v>5.0994250270806521E-2</v>
      </c>
      <c r="F49" s="352">
        <f t="shared" si="21"/>
        <v>0.11584741972221704</v>
      </c>
      <c r="G49" s="352" t="str">
        <f t="shared" si="21"/>
        <v/>
      </c>
      <c r="H49" s="352" t="str">
        <f t="shared" si="21"/>
        <v/>
      </c>
      <c r="I49" s="352" t="str">
        <f t="shared" si="21"/>
        <v/>
      </c>
      <c r="J49" s="352" t="str">
        <f t="shared" si="21"/>
        <v/>
      </c>
      <c r="K49" s="352" t="str">
        <f t="shared" si="21"/>
        <v/>
      </c>
      <c r="L49" s="352" t="str">
        <f t="shared" si="21"/>
        <v/>
      </c>
      <c r="M49" s="352" t="str">
        <f t="shared" si="21"/>
        <v/>
      </c>
      <c r="N49" s="6"/>
    </row>
    <row r="50" spans="1:14" ht="15.75" customHeight="1">
      <c r="A50" s="9"/>
      <c r="B50" s="135" t="s">
        <v>329</v>
      </c>
      <c r="C50" s="353">
        <f>(C29+C21+C22)/C29</f>
        <v>1.3208248214329001</v>
      </c>
      <c r="D50" s="353">
        <f>IF(D29="","",(D29+D21+D22)/D29)</f>
        <v>1.3083717732245095</v>
      </c>
      <c r="E50" s="353">
        <f t="shared" ref="E50:M50" si="22">IF(E29="","",(E29+E21+E22)/E29)</f>
        <v>1.2986720379788201</v>
      </c>
      <c r="F50" s="353">
        <f t="shared" si="22"/>
        <v>1.3293123315962101</v>
      </c>
      <c r="G50" s="353" t="str">
        <f t="shared" si="22"/>
        <v/>
      </c>
      <c r="H50" s="353" t="str">
        <f t="shared" si="22"/>
        <v/>
      </c>
      <c r="I50" s="353" t="str">
        <f t="shared" si="22"/>
        <v/>
      </c>
      <c r="J50" s="353" t="str">
        <f t="shared" si="22"/>
        <v/>
      </c>
      <c r="K50" s="353" t="str">
        <f t="shared" si="22"/>
        <v/>
      </c>
      <c r="L50" s="353" t="str">
        <f t="shared" si="22"/>
        <v/>
      </c>
      <c r="M50" s="353" t="str">
        <f t="shared" si="22"/>
        <v/>
      </c>
      <c r="N50" s="6"/>
    </row>
    <row r="51" spans="1:14" ht="15.75" customHeight="1">
      <c r="A51" s="9"/>
      <c r="B51" s="135" t="s">
        <v>330</v>
      </c>
      <c r="C51" s="356">
        <f>C48*C49*C50</f>
        <v>3.1923458106424447E-2</v>
      </c>
      <c r="D51" s="356">
        <f>IF(D48="","",D48*D49*D50)</f>
        <v>3.2865717149799641E-2</v>
      </c>
      <c r="E51" s="356">
        <f t="shared" ref="E51:M51" si="23">IF(E48="","",E48*E49*E50)</f>
        <v>2.8541896602543301E-2</v>
      </c>
      <c r="F51" s="356">
        <f t="shared" si="23"/>
        <v>5.8542979338109286E-2</v>
      </c>
      <c r="G51" s="356" t="str">
        <f t="shared" si="23"/>
        <v/>
      </c>
      <c r="H51" s="356" t="str">
        <f t="shared" si="23"/>
        <v/>
      </c>
      <c r="I51" s="356" t="str">
        <f t="shared" si="23"/>
        <v/>
      </c>
      <c r="J51" s="356" t="str">
        <f t="shared" si="23"/>
        <v/>
      </c>
      <c r="K51" s="356" t="str">
        <f t="shared" si="23"/>
        <v/>
      </c>
      <c r="L51" s="356" t="str">
        <f t="shared" si="23"/>
        <v/>
      </c>
      <c r="M51" s="356" t="str">
        <f t="shared" si="23"/>
        <v/>
      </c>
      <c r="N51" s="6"/>
    </row>
    <row r="52" spans="1:14" ht="15.75" customHeight="1">
      <c r="A52" s="9"/>
      <c r="B52" s="358" t="s">
        <v>331</v>
      </c>
      <c r="C52" s="355">
        <f>C35*C51</f>
        <v>2.5925846647358E-3</v>
      </c>
      <c r="D52" s="355">
        <f>IF(D35="","",D35*D51)</f>
        <v>-2.4373812286581273E-3</v>
      </c>
      <c r="E52" s="355">
        <f t="shared" ref="E52:M52" si="24">IF(E35="","",E35*E51)</f>
        <v>-1.2398547235976184E-2</v>
      </c>
      <c r="F52" s="355" t="str">
        <f t="shared" si="24"/>
        <v/>
      </c>
      <c r="G52" s="355" t="str">
        <f t="shared" si="24"/>
        <v/>
      </c>
      <c r="H52" s="355" t="str">
        <f t="shared" si="24"/>
        <v/>
      </c>
      <c r="I52" s="355" t="str">
        <f t="shared" si="24"/>
        <v/>
      </c>
      <c r="J52" s="355" t="str">
        <f t="shared" si="24"/>
        <v/>
      </c>
      <c r="K52" s="355" t="str">
        <f t="shared" si="24"/>
        <v/>
      </c>
      <c r="L52" s="355" t="str">
        <f t="shared" si="24"/>
        <v/>
      </c>
      <c r="M52" s="355" t="str">
        <f t="shared" si="24"/>
        <v/>
      </c>
      <c r="N52" s="6"/>
    </row>
    <row r="53" spans="1:14" ht="15.75" customHeight="1">
      <c r="A53" s="9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4" ht="15.75" customHeight="1">
      <c r="A54" s="9"/>
      <c r="B54" s="21" t="s">
        <v>74</v>
      </c>
      <c r="C54" s="51"/>
      <c r="D54" s="51"/>
      <c r="E54" s="51"/>
      <c r="F54" s="51"/>
    </row>
    <row r="55" spans="1:14" ht="15" customHeight="1">
      <c r="A55" s="9"/>
      <c r="B55" s="5" t="s">
        <v>75</v>
      </c>
      <c r="C55" s="309" t="s">
        <v>76</v>
      </c>
      <c r="D55" s="6"/>
      <c r="F55" s="6"/>
      <c r="G55" s="6"/>
      <c r="H55" s="6"/>
      <c r="I55" s="6"/>
      <c r="J55" s="6"/>
      <c r="K55" s="6"/>
      <c r="L55" s="6"/>
      <c r="M55" s="6"/>
    </row>
    <row r="56" spans="1:14" ht="15" customHeight="1">
      <c r="A56" s="9"/>
      <c r="B56" s="5"/>
      <c r="C56" s="306"/>
      <c r="D56" s="6"/>
      <c r="E56" s="30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307" t="s">
        <v>271</v>
      </c>
      <c r="C57" s="158"/>
      <c r="D57" s="158"/>
      <c r="E57" s="158"/>
      <c r="F57" s="158"/>
      <c r="G57" s="158"/>
      <c r="H57" s="158"/>
      <c r="I57" s="158"/>
      <c r="J57" s="158"/>
      <c r="K57" s="158"/>
      <c r="L57" s="158"/>
      <c r="M57" s="159"/>
    </row>
    <row r="58" spans="1:14" ht="15.75" customHeight="1">
      <c r="A58" s="9"/>
      <c r="B58" s="308" t="s">
        <v>272</v>
      </c>
      <c r="C58" s="312" t="str">
        <f t="shared" ref="C58:M58" si="25">IF(C57="","",C57/C7)</f>
        <v/>
      </c>
      <c r="D58" s="312" t="str">
        <f t="shared" si="25"/>
        <v/>
      </c>
      <c r="E58" s="312" t="str">
        <f t="shared" si="25"/>
        <v/>
      </c>
      <c r="F58" s="312" t="str">
        <f t="shared" si="25"/>
        <v/>
      </c>
      <c r="G58" s="312" t="str">
        <f t="shared" si="25"/>
        <v/>
      </c>
      <c r="H58" s="312" t="str">
        <f t="shared" si="25"/>
        <v/>
      </c>
      <c r="I58" s="312" t="str">
        <f t="shared" si="25"/>
        <v/>
      </c>
      <c r="J58" s="312" t="str">
        <f t="shared" si="25"/>
        <v/>
      </c>
      <c r="K58" s="312" t="str">
        <f t="shared" si="25"/>
        <v/>
      </c>
      <c r="L58" s="312" t="str">
        <f t="shared" si="25"/>
        <v/>
      </c>
      <c r="M58" s="313" t="str">
        <f t="shared" si="25"/>
        <v/>
      </c>
    </row>
    <row r="59" spans="1:14" ht="15.75" customHeight="1">
      <c r="A59" s="9"/>
      <c r="B59" s="52"/>
      <c r="C59" s="55"/>
      <c r="D59" s="55"/>
    </row>
    <row r="60" spans="1:14" ht="15.75" customHeight="1">
      <c r="A60" s="9"/>
      <c r="B60" s="52"/>
      <c r="C60" s="55"/>
      <c r="D60" s="55"/>
    </row>
    <row r="61" spans="1:14" ht="15.75" customHeight="1">
      <c r="A61" s="9"/>
      <c r="B61" s="52"/>
      <c r="C61" s="55"/>
      <c r="D61" s="55"/>
    </row>
    <row r="62" spans="1:14" ht="15.75" customHeight="1">
      <c r="A62" s="9"/>
      <c r="B62" s="52"/>
      <c r="C62" s="56"/>
      <c r="D62" s="56"/>
    </row>
    <row r="63" spans="1:14" ht="15.75" customHeight="1">
      <c r="A63" s="9"/>
      <c r="B63" s="52"/>
      <c r="C63" s="55"/>
      <c r="D63" s="55"/>
    </row>
    <row r="64" spans="1:14" ht="15.75" customHeight="1">
      <c r="A64" s="9"/>
      <c r="B64" s="52"/>
      <c r="C64" s="56"/>
      <c r="D64" s="56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</sheetData>
  <phoneticPr fontId="31" type="noConversion"/>
  <conditionalFormatting sqref="B57:M58">
    <cfRule type="expression" dxfId="11" priority="1">
      <formula>$C$55="No"</formula>
    </cfRule>
  </conditionalFormatting>
  <conditionalFormatting sqref="C7:M35 D42:M46 D48:M52">
    <cfRule type="containsBlanks" dxfId="10" priority="3">
      <formula>LEN(TRIM(C7))=0</formula>
    </cfRule>
  </conditionalFormatting>
  <conditionalFormatting sqref="C37:M40">
    <cfRule type="containsBlanks" dxfId="9" priority="5">
      <formula>LEN(TRIM(C37))=0</formula>
    </cfRule>
  </conditionalFormatting>
  <conditionalFormatting sqref="D17:M18">
    <cfRule type="containsBlanks" dxfId="8" priority="4">
      <formula>LEN(TRIM(D17))=0</formula>
    </cfRule>
  </conditionalFormatting>
  <dataValidations count="4">
    <dataValidation type="decimal" allowBlank="1" showDropDown="1" sqref="D57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5" xr:uid="{00000000-0002-0000-0100-000003000000}">
      <formula1>"Yes,No"</formula1>
    </dataValidation>
    <dataValidation allowBlank="1" sqref="C56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zoomScaleNormal="100" workbookViewId="0">
      <selection activeCell="C14" sqref="C14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43" t="s">
        <v>79</v>
      </c>
      <c r="C2" s="243"/>
      <c r="D2" s="11"/>
      <c r="E2" s="12"/>
      <c r="F2" s="12"/>
      <c r="G2" s="12"/>
      <c r="H2" s="12"/>
      <c r="I2" s="12"/>
      <c r="K2" s="311" t="s">
        <v>132</v>
      </c>
    </row>
    <row r="3" spans="1:11" ht="15" customHeight="1">
      <c r="B3" s="5" t="s">
        <v>238</v>
      </c>
      <c r="C3" s="6"/>
      <c r="D3" s="249">
        <v>20121092</v>
      </c>
      <c r="E3" s="149" t="str">
        <f>IF((C46-I46)=D3,"", "Error!")</f>
        <v/>
      </c>
      <c r="F3" s="6"/>
      <c r="G3" s="6"/>
      <c r="H3" s="250" t="s">
        <v>239</v>
      </c>
      <c r="I3" s="251">
        <v>19966164</v>
      </c>
      <c r="K3" s="72"/>
    </row>
    <row r="4" spans="1:11" ht="15" customHeight="1">
      <c r="B4" s="5" t="s">
        <v>213</v>
      </c>
      <c r="C4" s="6"/>
      <c r="D4" s="252">
        <f>D3-I3</f>
        <v>154928</v>
      </c>
      <c r="E4" s="143"/>
      <c r="F4" s="6"/>
      <c r="G4" s="6"/>
      <c r="H4" s="59" t="s">
        <v>80</v>
      </c>
      <c r="I4" s="87">
        <f>(I3*Dashboard!I12*Data!C4)/Dashboard!I5</f>
        <v>28.896266064605765</v>
      </c>
      <c r="K4" s="72"/>
    </row>
    <row r="5" spans="1:11" ht="15" customHeight="1">
      <c r="D5" s="6"/>
      <c r="E5" s="23" t="s">
        <v>81</v>
      </c>
      <c r="I5" s="6"/>
      <c r="K5" s="72"/>
    </row>
    <row r="6" spans="1:11" ht="15" customHeight="1">
      <c r="B6" s="57" t="s">
        <v>374</v>
      </c>
      <c r="C6" s="6"/>
      <c r="D6" s="58">
        <f>E46-I46-E50</f>
        <v>8965289.1500000004</v>
      </c>
      <c r="E6" s="14">
        <f>1-D6/D3</f>
        <v>0.55443327081850224</v>
      </c>
      <c r="F6" s="6"/>
      <c r="G6" s="6"/>
      <c r="H6" s="3" t="s">
        <v>282</v>
      </c>
      <c r="I6" s="68">
        <f>C26/I26</f>
        <v>9.2422738930497008</v>
      </c>
      <c r="J6" s="6"/>
      <c r="K6" s="72"/>
    </row>
    <row r="7" spans="1:11" ht="15" customHeight="1" thickBot="1">
      <c r="B7" s="52" t="s">
        <v>375</v>
      </c>
      <c r="D7" s="60">
        <f>MAX((D6*Exchange_Rate*Data!C4)/Common_Shares, 0)</f>
        <v>12.975120339817066</v>
      </c>
      <c r="E7" s="48" t="str">
        <f>Dashboard!J4</f>
        <v>HKD</v>
      </c>
      <c r="H7" s="3" t="s">
        <v>283</v>
      </c>
      <c r="I7" s="68">
        <f>C25/I26</f>
        <v>9.0486159523642016</v>
      </c>
      <c r="J7" s="6"/>
      <c r="K7" s="112"/>
    </row>
    <row r="8" spans="1:11" ht="15" customHeight="1">
      <c r="D8" s="6"/>
      <c r="H8" s="3" t="s">
        <v>284</v>
      </c>
      <c r="I8" s="68">
        <f>C24/I26</f>
        <v>8.7052471011109471</v>
      </c>
      <c r="K8" s="72"/>
    </row>
    <row r="9" spans="1:11" ht="15" customHeight="1">
      <c r="A9" s="4"/>
      <c r="B9" s="244" t="s">
        <v>234</v>
      </c>
      <c r="C9" s="231"/>
      <c r="D9" s="247">
        <v>44926</v>
      </c>
      <c r="E9" s="262" t="s">
        <v>335</v>
      </c>
      <c r="F9" s="126"/>
      <c r="G9" s="126"/>
      <c r="H9" s="126"/>
      <c r="I9" s="126"/>
      <c r="K9" s="72"/>
    </row>
    <row r="10" spans="1:11" ht="15" customHeight="1">
      <c r="B10" s="5" t="s">
        <v>82</v>
      </c>
      <c r="C10" s="23" t="s">
        <v>83</v>
      </c>
      <c r="D10" s="23" t="s">
        <v>84</v>
      </c>
      <c r="E10" s="23" t="s">
        <v>85</v>
      </c>
      <c r="F10" s="29" t="s">
        <v>223</v>
      </c>
      <c r="G10" s="6"/>
      <c r="H10" s="62" t="s">
        <v>86</v>
      </c>
      <c r="I10" s="23" t="s">
        <v>83</v>
      </c>
      <c r="K10" s="72"/>
    </row>
    <row r="11" spans="1:11" ht="15" customHeight="1">
      <c r="B11" s="5" t="s">
        <v>87</v>
      </c>
      <c r="C11" s="63">
        <v>5385923</v>
      </c>
      <c r="D11" s="64">
        <v>1</v>
      </c>
      <c r="E11" s="26">
        <f t="shared" ref="E11:E21" si="0">C11*D11</f>
        <v>5385923</v>
      </c>
      <c r="F11" s="6"/>
      <c r="G11" s="6"/>
      <c r="H11" s="5" t="s">
        <v>88</v>
      </c>
      <c r="I11" s="63">
        <v>0</v>
      </c>
      <c r="J11" s="6"/>
      <c r="K11" s="72"/>
    </row>
    <row r="12" spans="1:11" ht="14">
      <c r="B12" s="3" t="s">
        <v>89</v>
      </c>
      <c r="C12" s="63">
        <v>0</v>
      </c>
      <c r="D12" s="64">
        <v>0.98</v>
      </c>
      <c r="E12" s="26">
        <f t="shared" si="0"/>
        <v>0</v>
      </c>
      <c r="F12" s="6"/>
      <c r="G12" s="6"/>
      <c r="H12" s="5" t="s">
        <v>90</v>
      </c>
      <c r="I12" s="63">
        <v>42005</v>
      </c>
      <c r="J12" s="6"/>
      <c r="K12" s="72"/>
    </row>
    <row r="13" spans="1:11" ht="14">
      <c r="B13" s="5" t="s">
        <v>91</v>
      </c>
      <c r="C13" s="63">
        <v>0</v>
      </c>
      <c r="D13" s="64">
        <v>1</v>
      </c>
      <c r="E13" s="26">
        <f t="shared" si="0"/>
        <v>0</v>
      </c>
      <c r="F13" s="6"/>
      <c r="G13" s="6"/>
      <c r="H13" s="5" t="s">
        <v>92</v>
      </c>
      <c r="I13" s="63">
        <v>0</v>
      </c>
      <c r="J13" s="6"/>
      <c r="K13" s="75"/>
    </row>
    <row r="14" spans="1:11" ht="14">
      <c r="B14" s="5" t="s">
        <v>93</v>
      </c>
      <c r="C14" s="63">
        <v>58443</v>
      </c>
      <c r="D14" s="64">
        <v>0.6</v>
      </c>
      <c r="E14" s="26">
        <f t="shared" si="0"/>
        <v>35065.799999999996</v>
      </c>
      <c r="F14" s="6"/>
      <c r="G14" s="6"/>
      <c r="H14" s="3" t="s">
        <v>94</v>
      </c>
      <c r="I14" s="63">
        <v>0</v>
      </c>
      <c r="J14" s="6"/>
      <c r="K14" s="77"/>
    </row>
    <row r="15" spans="1:11" ht="14">
      <c r="B15" s="5" t="s">
        <v>95</v>
      </c>
      <c r="C15" s="63">
        <v>0</v>
      </c>
      <c r="D15" s="64">
        <v>0.7</v>
      </c>
      <c r="E15" s="26">
        <f t="shared" si="0"/>
        <v>0</v>
      </c>
      <c r="G15" s="6"/>
      <c r="H15" s="5" t="s">
        <v>96</v>
      </c>
      <c r="I15" s="148">
        <f>I26-SUM(I11:I14)</f>
        <v>583407</v>
      </c>
      <c r="J15" s="6"/>
    </row>
    <row r="16" spans="1:11" ht="14">
      <c r="B16" s="3" t="s">
        <v>94</v>
      </c>
      <c r="C16" s="63">
        <v>0</v>
      </c>
      <c r="D16" s="64">
        <v>0.6</v>
      </c>
      <c r="E16" s="26">
        <f t="shared" si="0"/>
        <v>0</v>
      </c>
      <c r="F16" s="195" t="s">
        <v>224</v>
      </c>
      <c r="G16" s="90">
        <f>IF(F16="Y",0,1)</f>
        <v>0</v>
      </c>
      <c r="H16" s="5"/>
      <c r="I16" s="147"/>
      <c r="J16" s="6"/>
    </row>
    <row r="17" spans="2:10" ht="14">
      <c r="B17" s="5" t="s">
        <v>97</v>
      </c>
      <c r="C17" s="63">
        <v>214747</v>
      </c>
      <c r="D17" s="64">
        <v>0.6</v>
      </c>
      <c r="E17" s="26">
        <f t="shared" si="0"/>
        <v>128848.2</v>
      </c>
      <c r="F17" s="6"/>
      <c r="G17" s="6"/>
      <c r="H17" s="5"/>
      <c r="I17" s="147"/>
      <c r="J17" s="6"/>
    </row>
    <row r="18" spans="2:10" ht="14">
      <c r="B18" s="5" t="s">
        <v>98</v>
      </c>
      <c r="C18" s="63">
        <v>119655</v>
      </c>
      <c r="D18" s="64">
        <v>0.6</v>
      </c>
      <c r="E18" s="26">
        <f t="shared" si="0"/>
        <v>71793</v>
      </c>
      <c r="G18" s="6"/>
    </row>
    <row r="19" spans="2:10" ht="14">
      <c r="B19" s="3" t="s">
        <v>99</v>
      </c>
      <c r="C19" s="63">
        <v>0</v>
      </c>
      <c r="D19" s="64">
        <v>0.75</v>
      </c>
      <c r="E19" s="26">
        <f t="shared" si="0"/>
        <v>0</v>
      </c>
      <c r="F19" s="195" t="s">
        <v>224</v>
      </c>
      <c r="G19" s="90">
        <f>IF(F19="Y",0,1)</f>
        <v>0</v>
      </c>
      <c r="H19" s="5"/>
      <c r="I19" s="147"/>
    </row>
    <row r="20" spans="2:10" ht="14">
      <c r="B20" s="5" t="s">
        <v>100</v>
      </c>
      <c r="C20" s="63">
        <v>0</v>
      </c>
      <c r="D20" s="64">
        <v>0.6</v>
      </c>
      <c r="E20" s="26">
        <f t="shared" si="0"/>
        <v>0</v>
      </c>
      <c r="F20" s="195" t="s">
        <v>224</v>
      </c>
      <c r="G20" s="90">
        <f>IF(F20="Y",0,1)</f>
        <v>0</v>
      </c>
      <c r="H20" s="5"/>
      <c r="I20" s="147"/>
    </row>
    <row r="21" spans="2:10" ht="14">
      <c r="B21" s="5" t="s">
        <v>101</v>
      </c>
      <c r="C21" s="63">
        <v>1461</v>
      </c>
      <c r="D21" s="64">
        <v>0.95</v>
      </c>
      <c r="E21" s="26">
        <f t="shared" si="0"/>
        <v>1387.95</v>
      </c>
      <c r="F21" s="6"/>
      <c r="G21" s="6"/>
      <c r="H21" s="5"/>
      <c r="I21" s="147"/>
    </row>
    <row r="22" spans="2:10" ht="15" customHeight="1">
      <c r="B22" s="5" t="s">
        <v>102</v>
      </c>
      <c r="C22" s="63">
        <v>0</v>
      </c>
      <c r="D22" s="64">
        <v>0.2</v>
      </c>
      <c r="E22" s="26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5" t="s">
        <v>103</v>
      </c>
      <c r="C24" s="69">
        <f>SUM(C11:C14)</f>
        <v>5444366</v>
      </c>
      <c r="D24" s="67">
        <f>IF(E24=0,0,E24/C24)</f>
        <v>0.99570616670517742</v>
      </c>
      <c r="E24" s="26">
        <f>SUM(E11:E14)</f>
        <v>5420988.7999999998</v>
      </c>
      <c r="F24" s="6"/>
      <c r="G24" s="6"/>
      <c r="H24" s="65" t="s">
        <v>285</v>
      </c>
      <c r="I24" s="68">
        <f>E24/($I$26-I15)</f>
        <v>129.05579811927151</v>
      </c>
      <c r="J24" s="13" t="str">
        <f>IF(I24&lt;1,"Liquidity Problem!","")</f>
        <v/>
      </c>
    </row>
    <row r="25" spans="2:10" ht="15" customHeight="1">
      <c r="B25" s="65" t="s">
        <v>104</v>
      </c>
      <c r="C25" s="69">
        <f>C24+SUM(C15:C17)</f>
        <v>5659113</v>
      </c>
      <c r="D25" s="67">
        <f>IF(E25=0,0,E25/C25)</f>
        <v>0.98069026011673566</v>
      </c>
      <c r="E25" s="26">
        <f>E24+SUM(E15:E17)</f>
        <v>5549837</v>
      </c>
      <c r="F25" s="6"/>
      <c r="G25" s="6"/>
      <c r="H25" s="65" t="s">
        <v>289</v>
      </c>
      <c r="I25" s="68">
        <f>E25/$I$26</f>
        <v>8.8738895320204918</v>
      </c>
      <c r="J25" s="13" t="str">
        <f>IF(OR(I25&lt;0.75,C26&lt;I26),"Liquidity Problem!","")</f>
        <v/>
      </c>
    </row>
    <row r="26" spans="2:10" ht="15" customHeight="1">
      <c r="B26" s="5" t="s">
        <v>105</v>
      </c>
      <c r="C26" s="69">
        <f>SUM(C11:C22)</f>
        <v>5780229</v>
      </c>
      <c r="D26" s="14">
        <f t="shared" ref="D26" si="2">E26/C26</f>
        <v>0.97280193397182013</v>
      </c>
      <c r="E26" s="26">
        <f>SUM(E11:E22)</f>
        <v>5623017.9500000002</v>
      </c>
      <c r="H26" s="5" t="s">
        <v>56</v>
      </c>
      <c r="I26" s="63">
        <v>625412</v>
      </c>
      <c r="J26" s="103">
        <f>IF(J24="",1,0)+IF(J25="",1,0)+IF(J44="",1,0)+IF(J45="",1,0)</f>
        <v>4</v>
      </c>
    </row>
    <row r="27" spans="2:10" ht="15" customHeight="1">
      <c r="C27" s="6"/>
      <c r="D27" s="6"/>
      <c r="E27" s="6"/>
      <c r="F27" s="29" t="s">
        <v>223</v>
      </c>
      <c r="G27" s="6"/>
      <c r="I27" s="6"/>
      <c r="J27" s="6"/>
    </row>
    <row r="28" spans="2:10" ht="15" customHeight="1">
      <c r="B28" s="5" t="s">
        <v>106</v>
      </c>
      <c r="C28" s="63">
        <v>0</v>
      </c>
      <c r="D28" s="64">
        <v>0.95</v>
      </c>
      <c r="E28" s="26">
        <v>0</v>
      </c>
      <c r="F28" s="6"/>
      <c r="G28" s="6"/>
      <c r="H28" s="5" t="s">
        <v>107</v>
      </c>
      <c r="I28" s="63">
        <v>0</v>
      </c>
      <c r="J28" s="6"/>
    </row>
    <row r="29" spans="2:10" ht="15" customHeight="1">
      <c r="B29" s="5" t="s">
        <v>108</v>
      </c>
      <c r="C29" s="63">
        <v>28140</v>
      </c>
      <c r="D29" s="64">
        <v>0.6</v>
      </c>
      <c r="E29" s="26">
        <f t="shared" ref="E29:E40" si="3">C29*D29</f>
        <v>16884</v>
      </c>
      <c r="F29" s="6"/>
      <c r="G29" s="6"/>
      <c r="H29" s="5" t="s">
        <v>109</v>
      </c>
      <c r="I29" s="63">
        <v>57055</v>
      </c>
      <c r="J29" s="6"/>
    </row>
    <row r="30" spans="2:10" ht="15" customHeight="1">
      <c r="B30" s="5" t="s">
        <v>110</v>
      </c>
      <c r="C30" s="63">
        <v>0</v>
      </c>
      <c r="D30" s="64">
        <v>0.6</v>
      </c>
      <c r="E30" s="26">
        <f t="shared" si="3"/>
        <v>0</v>
      </c>
      <c r="F30" s="6"/>
      <c r="G30" s="6"/>
      <c r="H30" s="5" t="s">
        <v>112</v>
      </c>
      <c r="I30" s="63">
        <v>0</v>
      </c>
      <c r="J30" s="6"/>
    </row>
    <row r="31" spans="2:10" ht="14">
      <c r="B31" s="3" t="s">
        <v>111</v>
      </c>
      <c r="C31" s="63">
        <v>0</v>
      </c>
      <c r="D31" s="64">
        <v>0.5</v>
      </c>
      <c r="E31" s="26">
        <f t="shared" si="3"/>
        <v>0</v>
      </c>
      <c r="F31" s="195" t="s">
        <v>224</v>
      </c>
      <c r="G31" s="90">
        <f>IF(F31="Y",0,1)</f>
        <v>0</v>
      </c>
      <c r="H31" s="3" t="s">
        <v>111</v>
      </c>
      <c r="I31" s="63">
        <v>0</v>
      </c>
      <c r="J31" s="6"/>
    </row>
    <row r="32" spans="2:10" ht="14">
      <c r="B32" s="5" t="s">
        <v>113</v>
      </c>
      <c r="C32" s="63">
        <v>0</v>
      </c>
      <c r="D32" s="64">
        <v>0.4</v>
      </c>
      <c r="E32" s="26">
        <f t="shared" si="3"/>
        <v>0</v>
      </c>
      <c r="G32" s="6"/>
      <c r="H32" s="5" t="s">
        <v>114</v>
      </c>
      <c r="I32" s="148">
        <f>I42-SUM(I28:I31)</f>
        <v>441451</v>
      </c>
      <c r="J32" s="6"/>
    </row>
    <row r="33" spans="2:10" ht="14">
      <c r="B33" s="5" t="s">
        <v>115</v>
      </c>
      <c r="C33" s="63">
        <v>1074</v>
      </c>
      <c r="D33" s="64">
        <v>0.6</v>
      </c>
      <c r="E33" s="208">
        <f t="shared" si="3"/>
        <v>644.4</v>
      </c>
      <c r="F33" s="195" t="s">
        <v>225</v>
      </c>
      <c r="G33" s="90">
        <f>IF(F33="Y",0,1)</f>
        <v>1</v>
      </c>
      <c r="J33" s="6"/>
    </row>
    <row r="34" spans="2:10" ht="14">
      <c r="B34" s="5" t="s">
        <v>116</v>
      </c>
      <c r="C34" s="63">
        <v>15159392</v>
      </c>
      <c r="D34" s="64">
        <v>0.3</v>
      </c>
      <c r="E34" s="208">
        <f t="shared" si="3"/>
        <v>4547817.5999999996</v>
      </c>
      <c r="F34" s="195" t="s">
        <v>224</v>
      </c>
      <c r="G34" s="90">
        <f>IF(F34="Y",0,1)</f>
        <v>0</v>
      </c>
    </row>
    <row r="35" spans="2:10" ht="14">
      <c r="B35" s="3" t="s">
        <v>100</v>
      </c>
      <c r="C35" s="63">
        <v>0</v>
      </c>
      <c r="D35" s="64">
        <v>0.4</v>
      </c>
      <c r="E35" s="26">
        <f t="shared" si="3"/>
        <v>0</v>
      </c>
      <c r="F35" s="195" t="s">
        <v>224</v>
      </c>
      <c r="G35" s="90">
        <f>IF(F35="Y",0,1)</f>
        <v>0</v>
      </c>
    </row>
    <row r="36" spans="2:10" ht="15" customHeight="1">
      <c r="B36" s="5" t="s">
        <v>275</v>
      </c>
      <c r="C36" s="63">
        <v>243053</v>
      </c>
      <c r="D36" s="64">
        <v>0.1</v>
      </c>
      <c r="E36" s="26">
        <f t="shared" si="3"/>
        <v>24305.300000000003</v>
      </c>
      <c r="F36" s="6"/>
      <c r="G36" s="6"/>
    </row>
    <row r="37" spans="2:10" ht="14">
      <c r="B37" s="5" t="s">
        <v>276</v>
      </c>
      <c r="C37" s="63">
        <v>0</v>
      </c>
      <c r="D37" s="64">
        <v>0.5</v>
      </c>
      <c r="E37" s="26">
        <f t="shared" si="3"/>
        <v>0</v>
      </c>
      <c r="F37" s="6"/>
      <c r="G37" s="6"/>
    </row>
    <row r="38" spans="2:10" ht="15" customHeight="1">
      <c r="B38" s="5" t="s">
        <v>117</v>
      </c>
      <c r="C38" s="63">
        <v>0</v>
      </c>
      <c r="D38" s="64">
        <v>0.4</v>
      </c>
      <c r="E38" s="26">
        <f t="shared" si="3"/>
        <v>0</v>
      </c>
      <c r="F38" s="6"/>
      <c r="G38" s="6"/>
    </row>
    <row r="39" spans="2:10" ht="15" customHeight="1">
      <c r="B39" s="5" t="s">
        <v>118</v>
      </c>
      <c r="C39" s="63">
        <v>33122</v>
      </c>
      <c r="D39" s="64">
        <v>0.95</v>
      </c>
      <c r="E39" s="26">
        <f t="shared" si="3"/>
        <v>31465.899999999998</v>
      </c>
      <c r="F39" s="6"/>
      <c r="G39" s="6"/>
    </row>
    <row r="40" spans="2:10" ht="15" customHeight="1">
      <c r="B40" s="5" t="s">
        <v>119</v>
      </c>
      <c r="C40" s="63">
        <v>0</v>
      </c>
      <c r="D40" s="64">
        <v>0.1</v>
      </c>
      <c r="E40" s="26">
        <f t="shared" si="3"/>
        <v>0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120</v>
      </c>
      <c r="C42" s="66">
        <f>SUM(C28:C40)</f>
        <v>15464781</v>
      </c>
      <c r="D42" s="14">
        <f>E42/C42</f>
        <v>0.29881556033674195</v>
      </c>
      <c r="E42" s="26">
        <f>SUM(E28:E40)</f>
        <v>4621117.2</v>
      </c>
      <c r="F42" s="6"/>
      <c r="G42" s="6"/>
      <c r="H42" s="5" t="s">
        <v>121</v>
      </c>
      <c r="I42" s="63">
        <v>498506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5" t="s">
        <v>122</v>
      </c>
      <c r="C44" s="69">
        <f>C24+SUM(C28:C29)</f>
        <v>5472506</v>
      </c>
      <c r="D44" s="67">
        <f>IF(E44=0,0,E44/C44)</f>
        <v>0.99367141854207197</v>
      </c>
      <c r="E44" s="26">
        <f>E24+SUM(E28:E29)</f>
        <v>5437872.7999999998</v>
      </c>
      <c r="F44" s="6"/>
      <c r="G44" s="6"/>
      <c r="H44" s="65" t="s">
        <v>286</v>
      </c>
      <c r="I44" s="68">
        <f>E44/(I46-I15-I32)</f>
        <v>54.894738542297596</v>
      </c>
      <c r="J44" s="13" t="str">
        <f>IF(I44&lt;1,"Liquidity Problem!","")</f>
        <v/>
      </c>
    </row>
    <row r="45" spans="2:10" ht="15" customHeight="1">
      <c r="B45" s="65" t="s">
        <v>123</v>
      </c>
      <c r="C45" s="69">
        <f>C44+(C25-C24)+SUM(C30:C33)</f>
        <v>5688327</v>
      </c>
      <c r="D45" s="67">
        <f>IF(E45=0,0,E45/C45)</f>
        <v>0.97873511842761507</v>
      </c>
      <c r="E45" s="26">
        <f>E44+(E25-E24)+SUM(E30:E33)</f>
        <v>5567365.4000000004</v>
      </c>
      <c r="F45" s="6"/>
      <c r="G45" s="6"/>
      <c r="H45" s="65" t="s">
        <v>290</v>
      </c>
      <c r="I45" s="68">
        <f>E45/$I$46</f>
        <v>4.9535334428312385</v>
      </c>
      <c r="J45" s="13" t="str">
        <f>IF(OR(I45&lt;0.5,C46&lt;I46),"Liquidity Problem!","")</f>
        <v/>
      </c>
    </row>
    <row r="46" spans="2:10" ht="15" customHeight="1">
      <c r="B46" s="5" t="s">
        <v>124</v>
      </c>
      <c r="C46" s="69">
        <f>C26+C42</f>
        <v>21245010</v>
      </c>
      <c r="D46" s="14">
        <f>E46/C46</f>
        <v>0.48219017783470097</v>
      </c>
      <c r="E46" s="26">
        <f>E26+E42</f>
        <v>10244135.15</v>
      </c>
      <c r="F46" s="6"/>
      <c r="G46" s="6"/>
      <c r="H46" s="5" t="s">
        <v>287</v>
      </c>
      <c r="I46" s="148">
        <f>I26+I42</f>
        <v>1123918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125</v>
      </c>
      <c r="C48" s="21"/>
      <c r="D48" s="51"/>
    </row>
    <row r="49" spans="2:9" ht="14">
      <c r="B49" s="204" t="s">
        <v>200</v>
      </c>
      <c r="C49" s="6"/>
      <c r="D49" s="205" t="str">
        <f>IF(E50=D4,"BV of the MI","P/B Approach")</f>
        <v>BV of the MI</v>
      </c>
      <c r="E49" s="6"/>
    </row>
    <row r="50" spans="2:9" ht="14">
      <c r="B50" s="5" t="s">
        <v>199</v>
      </c>
      <c r="C50" s="206">
        <f>D4</f>
        <v>154928</v>
      </c>
      <c r="D50" s="202">
        <f>IF(E50=0, 0,E50/C50)</f>
        <v>1</v>
      </c>
      <c r="E50" s="206">
        <f>MAX(C50,C50*Dashboard!I10)</f>
        <v>154928</v>
      </c>
      <c r="I50" s="150"/>
    </row>
    <row r="51" spans="2:9" ht="15" customHeight="1">
      <c r="C51" s="6"/>
      <c r="D51" s="6"/>
      <c r="E51" s="6"/>
    </row>
    <row r="52" spans="2:9" ht="14.5" thickBot="1">
      <c r="B52" s="73" t="s">
        <v>244</v>
      </c>
      <c r="C52" s="5"/>
      <c r="D52" s="478">
        <f>D53+D54+D55</f>
        <v>99060</v>
      </c>
      <c r="E52" s="479"/>
      <c r="F52" s="52"/>
      <c r="G52" s="52"/>
    </row>
    <row r="53" spans="2:9" ht="14.5" thickTop="1">
      <c r="B53" s="57" t="s">
        <v>218</v>
      </c>
      <c r="C53" s="6"/>
      <c r="D53" s="481">
        <f>SUM(I11:I13)+SUM(I28:I30)</f>
        <v>99060</v>
      </c>
      <c r="E53" s="476"/>
      <c r="F53" s="5"/>
      <c r="G53" s="5"/>
      <c r="H53" s="3" t="s">
        <v>288</v>
      </c>
      <c r="I53" s="14">
        <f>D53/I3</f>
        <v>4.9613936858377006E-3</v>
      </c>
    </row>
    <row r="54" spans="2:9" ht="14">
      <c r="B54" s="57" t="s">
        <v>127</v>
      </c>
      <c r="C54" s="6"/>
      <c r="D54" s="488">
        <v>0</v>
      </c>
      <c r="E54" s="472"/>
      <c r="F54" s="6" t="s">
        <v>128</v>
      </c>
      <c r="G54" s="6"/>
    </row>
    <row r="55" spans="2:9" ht="12.75" customHeight="1">
      <c r="B55" s="57" t="s">
        <v>126</v>
      </c>
      <c r="C55" s="6"/>
      <c r="D55" s="488">
        <v>0</v>
      </c>
      <c r="E55" s="472"/>
      <c r="F55" s="5" t="s">
        <v>129</v>
      </c>
      <c r="G55" s="5"/>
    </row>
    <row r="56" spans="2:9" ht="15" customHeight="1">
      <c r="D56" s="6"/>
      <c r="E56" s="6"/>
    </row>
    <row r="57" spans="2:9" ht="14">
      <c r="B57" s="73" t="s">
        <v>130</v>
      </c>
      <c r="C57" s="5"/>
      <c r="D57" s="480"/>
      <c r="E57" s="480"/>
      <c r="F57" s="19"/>
      <c r="G57" s="19"/>
    </row>
    <row r="58" spans="2:9" ht="15" customHeight="1">
      <c r="B58" s="52" t="s">
        <v>219</v>
      </c>
      <c r="C58" s="201">
        <f>C14+C15+(C19*G19)+(C20*G20)+C29+C30+(C31*G31)+(C33*G33)+(C34*G34)+(C35*G35)</f>
        <v>87657</v>
      </c>
      <c r="D58" s="122">
        <f>IF(E58=0,0,E58/C58)</f>
        <v>0.6</v>
      </c>
      <c r="E58" s="209">
        <f>E14+E15+(E19*G19)+(E20*G20)+E29+E30+(E31*G31)+(E33*G33)+(E34*G34)+(E35*G35)</f>
        <v>52594.2</v>
      </c>
      <c r="H58" s="6"/>
    </row>
    <row r="59" spans="2:9" ht="14">
      <c r="B59" s="52" t="s">
        <v>87</v>
      </c>
      <c r="C59" s="201">
        <f>C11+C12+C28</f>
        <v>5385923</v>
      </c>
      <c r="D59" s="202">
        <f>IF(E59=0,0,E59/C59)</f>
        <v>1</v>
      </c>
      <c r="E59" s="203">
        <f>E11+E12+E28</f>
        <v>5385923</v>
      </c>
      <c r="F59" s="6"/>
      <c r="G59" s="6"/>
    </row>
    <row r="60" spans="2:9" ht="14">
      <c r="B60" s="52" t="s">
        <v>131</v>
      </c>
      <c r="C60" s="6"/>
      <c r="D60" s="486">
        <f>((Dashboard!I6*Data!C4)+D52+E50-C58-C59)</f>
        <v>2505340.7999999998</v>
      </c>
      <c r="E60" s="487"/>
      <c r="F60" s="6"/>
      <c r="G60" s="6"/>
    </row>
    <row r="61" spans="2:9" ht="15" customHeight="1">
      <c r="D61" s="6"/>
      <c r="E61" s="6"/>
    </row>
    <row r="62" spans="2:9" ht="15" customHeight="1">
      <c r="B62" s="263" t="s">
        <v>243</v>
      </c>
    </row>
    <row r="63" spans="2:9" ht="15" customHeight="1">
      <c r="B63" s="3" t="s">
        <v>246</v>
      </c>
      <c r="D63" s="484">
        <f>((C26-C11-C12-C14-C15-C16*G16-C19*G19-C20*G20)-I26)/Data!C7</f>
        <v>-0.20947945748576033</v>
      </c>
      <c r="E63" s="485"/>
    </row>
    <row r="64" spans="2:9" ht="15" customHeight="1">
      <c r="B64" s="3" t="s">
        <v>245</v>
      </c>
      <c r="D64" s="482">
        <v>7.51E-2</v>
      </c>
      <c r="E64" s="483"/>
      <c r="F64" s="242" t="s">
        <v>231</v>
      </c>
    </row>
    <row r="65" spans="2:5" ht="15" customHeight="1">
      <c r="B65" s="263" t="s">
        <v>247</v>
      </c>
      <c r="D65" s="482">
        <v>7.51E-2</v>
      </c>
      <c r="E65" s="48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8"/>
  <sheetViews>
    <sheetView showGridLines="0" zoomScaleNormal="100" zoomScalePageLayoutView="80" workbookViewId="0">
      <selection activeCell="C24" sqref="C24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88" t="s">
        <v>229</v>
      </c>
      <c r="C2" s="257" t="s">
        <v>241</v>
      </c>
      <c r="D2" s="257"/>
      <c r="E2" s="257">
        <v>1</v>
      </c>
      <c r="F2" s="257"/>
      <c r="G2" s="257">
        <v>2</v>
      </c>
      <c r="H2" s="12"/>
      <c r="I2" s="257">
        <v>3</v>
      </c>
      <c r="J2" s="257"/>
      <c r="K2" s="12"/>
      <c r="L2" s="12"/>
    </row>
    <row r="3" spans="1:13" ht="15.75" customHeight="1">
      <c r="B3" s="28" t="str">
        <f>'Val Models'!B3</f>
        <v>(Numbers in 1000HKD)</v>
      </c>
      <c r="C3" s="253">
        <f>Dashboard!E6</f>
        <v>44926</v>
      </c>
      <c r="D3" s="27" t="s">
        <v>230</v>
      </c>
      <c r="E3" s="253">
        <f>EOMONTH(EDATE(C3,12),0)</f>
        <v>45291</v>
      </c>
      <c r="F3" s="27" t="s">
        <v>230</v>
      </c>
      <c r="G3" s="253">
        <f>IF(G10="","",EOMONTH(EDATE(E3,12),0))</f>
        <v>45657</v>
      </c>
      <c r="H3" s="27"/>
      <c r="I3" s="253" t="str">
        <f>IF(I21="","",EOMONTH(EDATE(G3,12),0))</f>
        <v/>
      </c>
      <c r="J3" s="268"/>
      <c r="L3" s="70" t="s">
        <v>132</v>
      </c>
    </row>
    <row r="4" spans="1:13" ht="15.75" customHeight="1">
      <c r="B4" s="264" t="s">
        <v>336</v>
      </c>
      <c r="C4" s="265">
        <v>800033</v>
      </c>
      <c r="D4" s="236">
        <f>C4/C9</f>
        <v>0.57879833399771818</v>
      </c>
      <c r="E4" s="265">
        <f>C4*1.02</f>
        <v>816033.66</v>
      </c>
      <c r="F4" s="236">
        <f>E4/E9</f>
        <v>0.5285788940702022</v>
      </c>
      <c r="G4" s="390">
        <f>E4*1.02</f>
        <v>832354.33319999999</v>
      </c>
      <c r="H4" s="236"/>
      <c r="I4" s="390"/>
      <c r="J4" s="258"/>
      <c r="K4" s="6"/>
      <c r="L4" s="72"/>
      <c r="M4" s="56"/>
    </row>
    <row r="5" spans="1:13" ht="15.75" customHeight="1">
      <c r="B5" s="264" t="s">
        <v>337</v>
      </c>
      <c r="C5" s="265">
        <v>318356</v>
      </c>
      <c r="D5" s="236">
        <f>C5/C9</f>
        <v>0.23032040230612683</v>
      </c>
      <c r="E5" s="265">
        <f>C5*1.3</f>
        <v>413862.8</v>
      </c>
      <c r="F5" s="236">
        <f>E5/E9</f>
        <v>0.26807612460593511</v>
      </c>
      <c r="G5" s="390">
        <f>E5*1.2</f>
        <v>496635.36</v>
      </c>
      <c r="H5" s="236"/>
      <c r="I5" s="390"/>
      <c r="J5" s="258"/>
      <c r="K5" s="6"/>
      <c r="L5" s="72"/>
      <c r="M5" s="56"/>
    </row>
    <row r="6" spans="1:13" ht="15.75" customHeight="1">
      <c r="B6" s="264" t="s">
        <v>338</v>
      </c>
      <c r="C6" s="265">
        <v>173280</v>
      </c>
      <c r="D6" s="236">
        <f>C6/C9</f>
        <v>0.12536254793880328</v>
      </c>
      <c r="E6" s="265">
        <f>C6*1.08</f>
        <v>187142.40000000002</v>
      </c>
      <c r="F6" s="236">
        <f>E6/E9</f>
        <v>0.12121990510249715</v>
      </c>
      <c r="G6" s="390">
        <f>E6*1.03</f>
        <v>192756.67200000002</v>
      </c>
      <c r="H6" s="236"/>
      <c r="I6" s="390"/>
      <c r="J6" s="258"/>
      <c r="K6" s="6"/>
      <c r="L6" s="72"/>
      <c r="M6" s="56"/>
    </row>
    <row r="7" spans="1:13" ht="15.75" customHeight="1">
      <c r="B7" s="264" t="s">
        <v>339</v>
      </c>
      <c r="C7" s="265">
        <v>90562</v>
      </c>
      <c r="D7" s="236">
        <f>C7/C9</f>
        <v>6.55187157573517E-2</v>
      </c>
      <c r="E7" s="265">
        <f>C7*1.4</f>
        <v>126786.79999999999</v>
      </c>
      <c r="F7" s="236">
        <f>E7/E9</f>
        <v>8.2125076221365556E-2</v>
      </c>
      <c r="G7" s="390">
        <f>E7*1.3</f>
        <v>164822.84</v>
      </c>
      <c r="H7" s="236"/>
      <c r="I7" s="390"/>
      <c r="J7" s="258"/>
      <c r="K7" s="6"/>
      <c r="L7" s="72"/>
      <c r="M7" s="56"/>
    </row>
    <row r="8" spans="1:13" ht="15.75" customHeight="1">
      <c r="B8" s="264" t="s">
        <v>340</v>
      </c>
      <c r="C8" s="265">
        <v>0</v>
      </c>
      <c r="D8" s="236">
        <f>C8/C9</f>
        <v>0</v>
      </c>
      <c r="E8" s="265">
        <v>0</v>
      </c>
      <c r="F8" s="236"/>
      <c r="G8" s="390">
        <v>0</v>
      </c>
      <c r="H8" s="236"/>
      <c r="I8" s="390"/>
      <c r="J8" s="258"/>
      <c r="K8" s="6"/>
      <c r="L8" s="72"/>
      <c r="M8" s="56"/>
    </row>
    <row r="9" spans="1:13" ht="15.75" customHeight="1">
      <c r="B9" s="5" t="s">
        <v>134</v>
      </c>
      <c r="C9" s="173">
        <f>SUM(C4:C7)</f>
        <v>1382231</v>
      </c>
      <c r="D9" s="235"/>
      <c r="E9" s="305">
        <f>SUM(E4:E7)</f>
        <v>1543825.66</v>
      </c>
      <c r="F9" s="235"/>
      <c r="G9" s="305">
        <f>SUM(G4:G8)</f>
        <v>1686569.2052000002</v>
      </c>
      <c r="H9" s="235"/>
      <c r="I9" s="215"/>
      <c r="J9" s="259"/>
      <c r="K9" s="6"/>
      <c r="L9" s="72"/>
      <c r="M9" s="56"/>
    </row>
    <row r="10" spans="1:13" ht="15.75" customHeight="1">
      <c r="B10" s="17" t="s">
        <v>133</v>
      </c>
      <c r="C10" s="237">
        <f>Data!C8</f>
        <v>0.10842284637437105</v>
      </c>
      <c r="D10" s="237"/>
      <c r="E10" s="18">
        <f>E9/C9-1</f>
        <v>0.1169085775098373</v>
      </c>
      <c r="F10" s="237"/>
      <c r="G10" s="18">
        <f>G9/E9-1</f>
        <v>9.2460922822075853E-2</v>
      </c>
      <c r="H10" s="237"/>
      <c r="I10" s="71"/>
      <c r="J10" s="295"/>
      <c r="K10" s="6"/>
      <c r="L10" s="72"/>
      <c r="M10" s="56"/>
    </row>
    <row r="11" spans="1:13" ht="15.75" customHeight="1">
      <c r="B11" s="264" t="s">
        <v>341</v>
      </c>
      <c r="C11" s="265">
        <v>102689</v>
      </c>
      <c r="D11" s="359"/>
      <c r="E11" s="265"/>
      <c r="F11" s="359"/>
      <c r="G11" s="265"/>
      <c r="H11" s="359"/>
      <c r="I11" s="271"/>
      <c r="J11" s="360"/>
      <c r="K11" s="6"/>
      <c r="L11" s="72"/>
      <c r="M11" s="56"/>
    </row>
    <row r="12" spans="1:13" ht="15.75" customHeight="1">
      <c r="B12" s="264" t="s">
        <v>342</v>
      </c>
      <c r="C12" s="265">
        <v>411606</v>
      </c>
      <c r="D12" s="359"/>
      <c r="E12" s="265"/>
      <c r="F12" s="359"/>
      <c r="G12" s="265"/>
      <c r="H12" s="359"/>
      <c r="I12" s="271"/>
      <c r="J12" s="360"/>
      <c r="K12" s="6"/>
      <c r="L12" s="72"/>
      <c r="M12" s="56"/>
    </row>
    <row r="13" spans="1:13" ht="15.75" customHeight="1">
      <c r="B13" s="264" t="s">
        <v>343</v>
      </c>
      <c r="C13" s="265">
        <v>111319</v>
      </c>
      <c r="D13" s="359"/>
      <c r="E13" s="265"/>
      <c r="F13" s="359"/>
      <c r="G13" s="265"/>
      <c r="H13" s="359"/>
      <c r="I13" s="271"/>
      <c r="J13" s="360"/>
      <c r="K13" s="6"/>
      <c r="L13" s="72"/>
      <c r="M13" s="56"/>
    </row>
    <row r="14" spans="1:13" ht="15.75" customHeight="1">
      <c r="B14" s="264" t="s">
        <v>344</v>
      </c>
      <c r="C14" s="265">
        <v>77419</v>
      </c>
      <c r="D14" s="359"/>
      <c r="E14" s="265"/>
      <c r="F14" s="359"/>
      <c r="G14" s="265"/>
      <c r="H14" s="359"/>
      <c r="I14" s="271"/>
      <c r="J14" s="360"/>
      <c r="K14" s="6"/>
      <c r="L14" s="72"/>
      <c r="M14" s="56"/>
    </row>
    <row r="15" spans="1:13" ht="15.75" customHeight="1">
      <c r="B15" s="8" t="s">
        <v>135</v>
      </c>
      <c r="C15" s="174">
        <f>Data!C9</f>
        <v>703033</v>
      </c>
      <c r="D15" s="238"/>
      <c r="E15" s="214">
        <f>E9*(1-E16)</f>
        <v>795070.21490000002</v>
      </c>
      <c r="F15" s="238"/>
      <c r="G15" s="256">
        <f>IF(G9="","",G9*(1-G16))</f>
        <v>885448.83273000014</v>
      </c>
      <c r="H15" s="238"/>
      <c r="I15" s="256" t="str">
        <f>IF(I9="","",I9*(1-I16))</f>
        <v/>
      </c>
      <c r="J15" s="296"/>
      <c r="K15" s="6"/>
      <c r="L15" s="112"/>
      <c r="M15" s="1"/>
    </row>
    <row r="16" spans="1:13" ht="15.75" customHeight="1">
      <c r="B16" s="17" t="s">
        <v>46</v>
      </c>
      <c r="C16" s="179">
        <f>(C9-C15)/C9</f>
        <v>0.4913780692228723</v>
      </c>
      <c r="D16" s="179"/>
      <c r="E16" s="71">
        <v>0.48499999999999999</v>
      </c>
      <c r="F16" s="179"/>
      <c r="G16" s="71">
        <v>0.47499999999999998</v>
      </c>
      <c r="H16" s="179"/>
      <c r="I16" s="71"/>
      <c r="J16" s="297"/>
      <c r="K16" s="6"/>
      <c r="L16" s="72"/>
    </row>
    <row r="17" spans="2:13" ht="15.75" customHeight="1">
      <c r="B17" s="5" t="s">
        <v>136</v>
      </c>
      <c r="C17" s="26">
        <f>C9-C15</f>
        <v>679198</v>
      </c>
      <c r="D17" s="26"/>
      <c r="E17" s="26">
        <f>E9-E15</f>
        <v>748755.4450999999</v>
      </c>
      <c r="F17" s="26"/>
      <c r="G17" s="26">
        <f>IF(G10="","",G9-G15)</f>
        <v>801120.37247000006</v>
      </c>
      <c r="H17" s="26"/>
      <c r="I17" s="26" t="str">
        <f>IF(I10="","",I9-I15)</f>
        <v/>
      </c>
      <c r="J17" s="222"/>
      <c r="K17" s="6"/>
      <c r="L17" s="72"/>
    </row>
    <row r="18" spans="2:13" ht="15.75" customHeight="1">
      <c r="B18" s="17" t="s">
        <v>48</v>
      </c>
      <c r="C18" s="180">
        <f>C19/C9</f>
        <v>0.12301634097339735</v>
      </c>
      <c r="D18" s="180"/>
      <c r="E18" s="213">
        <f>C18</f>
        <v>0.12301634097339735</v>
      </c>
      <c r="F18" s="180"/>
      <c r="G18" s="64">
        <f>E18</f>
        <v>0.12301634097339735</v>
      </c>
      <c r="H18" s="180"/>
      <c r="I18" s="64"/>
      <c r="J18" s="298"/>
      <c r="K18" s="6"/>
      <c r="L18" s="72"/>
    </row>
    <row r="19" spans="2:13" ht="15.75" customHeight="1">
      <c r="B19" s="8" t="s">
        <v>137</v>
      </c>
      <c r="C19" s="176">
        <v>170037</v>
      </c>
      <c r="D19" s="239"/>
      <c r="E19" s="74">
        <f>E9*E18</f>
        <v>189915.78379404021</v>
      </c>
      <c r="F19" s="239"/>
      <c r="G19" s="74">
        <f>G9*G18</f>
        <v>207475.57242211499</v>
      </c>
      <c r="H19" s="239"/>
      <c r="I19" s="74"/>
      <c r="J19" s="299"/>
      <c r="K19" s="6"/>
      <c r="L19" s="72"/>
    </row>
    <row r="20" spans="2:13" ht="15.75" customHeight="1">
      <c r="B20" s="17" t="s">
        <v>49</v>
      </c>
      <c r="C20" s="18">
        <f>C22/C9</f>
        <v>0.36836172824947494</v>
      </c>
      <c r="D20" s="18"/>
      <c r="E20" s="18">
        <f>E22/E9</f>
        <v>0.36198365902660262</v>
      </c>
      <c r="F20" s="18"/>
      <c r="G20" s="18">
        <f>IF(G10="","",G22/G9)</f>
        <v>0.35198365902660261</v>
      </c>
      <c r="H20" s="18"/>
      <c r="I20" s="18" t="str">
        <f>IF(I10="","",I22/I9)</f>
        <v/>
      </c>
      <c r="J20" s="216"/>
      <c r="K20" s="6"/>
      <c r="L20" s="72"/>
      <c r="M20" s="56"/>
    </row>
    <row r="21" spans="2:13" ht="15.75" customHeight="1">
      <c r="B21" s="17" t="s">
        <v>138</v>
      </c>
      <c r="C21" s="240">
        <f>Data!C15</f>
        <v>-2.4542947479898259E-2</v>
      </c>
      <c r="D21" s="240"/>
      <c r="E21" s="14">
        <f>IF(ABS(C22+E22)=ABS(C22)+ABS(E22),IF(E22&lt;0,-1,1)*(E22-C22)/C22,"Turn")</f>
        <v>9.7569651457907594E-2</v>
      </c>
      <c r="F21" s="240"/>
      <c r="G21" s="14">
        <f>IF(G10="","",IF(ABS(E22+G22)=ABS(E22)+ABS(G22),IF(G22&lt;0,-1,1)*(G22-E22)/E22,"Turn"))</f>
        <v>6.2281081948601817E-2</v>
      </c>
      <c r="H21" s="240"/>
      <c r="I21" s="14" t="str">
        <f>IF(I10="","",IF(ABS(G22+I22)=ABS(G22)+ABS(I22),IF(I22&lt;0,-1,1)*(I22-G22)/G22,"Turn"))</f>
        <v/>
      </c>
      <c r="J21" s="300"/>
      <c r="K21" s="6"/>
      <c r="L21" s="75"/>
      <c r="M21" s="76"/>
    </row>
    <row r="22" spans="2:13" ht="15.75" customHeight="1">
      <c r="B22" s="127" t="s">
        <v>228</v>
      </c>
      <c r="C22" s="287">
        <f>C17-C19</f>
        <v>509161</v>
      </c>
      <c r="D22" s="288"/>
      <c r="E22" s="287">
        <f>E17-E19</f>
        <v>558839.66130595969</v>
      </c>
      <c r="F22" s="288"/>
      <c r="G22" s="287">
        <f>IF(G10="","",G17-G19)</f>
        <v>593644.80004788504</v>
      </c>
      <c r="H22" s="288"/>
      <c r="I22" s="287" t="str">
        <f>IF(I10="","",I17-I19)</f>
        <v/>
      </c>
      <c r="J22" s="301"/>
      <c r="K22" s="6"/>
      <c r="L22" s="77"/>
      <c r="M22" s="55"/>
    </row>
    <row r="23" spans="2:13" ht="15.75" customHeight="1">
      <c r="B23" s="283" t="s">
        <v>139</v>
      </c>
      <c r="C23" s="284">
        <v>0.16500000000000001</v>
      </c>
      <c r="D23" s="285"/>
      <c r="E23" s="286">
        <f>IF(E22="","",C23)</f>
        <v>0.16500000000000001</v>
      </c>
      <c r="F23" s="286"/>
      <c r="G23" s="286">
        <f>IF(G22="","",E23)</f>
        <v>0.16500000000000001</v>
      </c>
      <c r="H23" s="286"/>
      <c r="I23" s="286" t="str">
        <f>IF(I22="","",G23)</f>
        <v/>
      </c>
      <c r="J23" s="302"/>
      <c r="L23" s="72" t="s">
        <v>345</v>
      </c>
    </row>
    <row r="24" spans="2:13" ht="15.75" customHeight="1">
      <c r="B24" s="292" t="s">
        <v>278</v>
      </c>
      <c r="C24" s="240">
        <f>C25/C15</f>
        <v>0.60473610058133831</v>
      </c>
      <c r="D24" s="294"/>
      <c r="E24" s="293">
        <f>E25/E15</f>
        <v>0.5869055442470158</v>
      </c>
      <c r="F24" s="293"/>
      <c r="G24" s="293">
        <f>IF(G15="","",G25/G15)</f>
        <v>0.55982162911850131</v>
      </c>
      <c r="H24" s="293"/>
      <c r="I24" s="293" t="str">
        <f>IF(I15="","",I25/I15)</f>
        <v/>
      </c>
      <c r="J24" s="303"/>
    </row>
    <row r="25" spans="2:13" ht="15.75" customHeight="1">
      <c r="B25" s="289" t="s">
        <v>78</v>
      </c>
      <c r="C25" s="290">
        <f>IF(C22&lt;=0,C22,C22*(1-C23))</f>
        <v>425149.435</v>
      </c>
      <c r="D25" s="290"/>
      <c r="E25" s="291">
        <f>IF(E22="","",IF(E22&lt;=0,E22,E22*(1-E23)))</f>
        <v>466631.11719047633</v>
      </c>
      <c r="F25" s="290"/>
      <c r="G25" s="291">
        <f>IF(G22="","",IF(G22&lt;=0,G22,G22*(1-G23)))</f>
        <v>495693.408039984</v>
      </c>
      <c r="H25" s="290"/>
      <c r="I25" s="291" t="str">
        <f>IF(I22="","",IF(I22&lt;=0,I22,I22*(1-I23)))</f>
        <v/>
      </c>
      <c r="J25" s="304"/>
    </row>
    <row r="26" spans="2:13" ht="15.75" customHeight="1"/>
    <row r="27" spans="2:13" ht="15.75" customHeight="1"/>
    <row r="28" spans="2:13" ht="15.75" customHeight="1"/>
    <row r="29" spans="2:13" ht="15.75" customHeight="1"/>
    <row r="30" spans="2:13" ht="15.75" customHeight="1"/>
    <row r="31" spans="2:13" ht="15.75" customHeight="1"/>
    <row r="32" spans="2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</sheetData>
  <phoneticPr fontId="31" type="noConversion"/>
  <conditionalFormatting sqref="E23:E25">
    <cfRule type="containsBlanks" dxfId="7" priority="2">
      <formula>LEN(TRIM(E23))=0</formula>
    </cfRule>
  </conditionalFormatting>
  <conditionalFormatting sqref="G25 I25">
    <cfRule type="containsBlanks" dxfId="6" priority="4">
      <formula>LEN(TRIM(G25))=0</formula>
    </cfRule>
  </conditionalFormatting>
  <conditionalFormatting sqref="G15:H18 H19 G20:H22">
    <cfRule type="containsBlanks" dxfId="5" priority="10">
      <formula>LEN(TRIM(G15))=0</formula>
    </cfRule>
  </conditionalFormatting>
  <conditionalFormatting sqref="H10:H14 G15:H18 H19 G20:H22">
    <cfRule type="containsBlanks" priority="11">
      <formula>LEN(TRIM(G10))=0</formula>
    </cfRule>
  </conditionalFormatting>
  <conditionalFormatting sqref="H10:J14 G15:J25">
    <cfRule type="containsBlanks" dxfId="4" priority="1">
      <formula>LEN(TRIM(G10))=0</formula>
    </cfRule>
  </conditionalFormatting>
  <conditionalFormatting sqref="I10:J22">
    <cfRule type="containsBlanks" dxfId="3" priority="6">
      <formula>LEN(TRIM(I10))=0</formula>
    </cfRule>
    <cfRule type="containsBlanks" priority="7">
      <formula>LEN(TRIM(I10))=0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9"/>
  <sheetViews>
    <sheetView showGridLines="0" topLeftCell="A16" zoomScaleNormal="100" zoomScalePageLayoutView="80" workbookViewId="0">
      <selection activeCell="C49" sqref="C49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68.453125" style="3" bestFit="1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88" t="s">
        <v>348</v>
      </c>
      <c r="C2" s="257" t="s">
        <v>241</v>
      </c>
      <c r="D2" s="257">
        <v>1</v>
      </c>
      <c r="E2" s="257">
        <v>2</v>
      </c>
      <c r="F2" s="257">
        <v>3</v>
      </c>
      <c r="G2" s="257" t="str">
        <f>B21</f>
        <v>TV after Year 2</v>
      </c>
      <c r="H2" s="12"/>
      <c r="I2" s="12"/>
    </row>
    <row r="3" spans="1:10" ht="15.75" customHeight="1">
      <c r="B3" s="28" t="str">
        <f>"(Numbers in "&amp;Data!C4&amp;Dashboard!I11&amp;")"</f>
        <v>(Numbers in 1000HKD)</v>
      </c>
      <c r="C3" s="253">
        <f>Operation!C3</f>
        <v>44926</v>
      </c>
      <c r="D3" s="253">
        <f>Operation!E3</f>
        <v>45291</v>
      </c>
      <c r="E3" s="253">
        <f>Operation!G3</f>
        <v>45657</v>
      </c>
      <c r="F3" s="253" t="str">
        <f>Operation!I3</f>
        <v/>
      </c>
      <c r="G3" s="27" t="s">
        <v>240</v>
      </c>
      <c r="I3" s="70" t="s">
        <v>132</v>
      </c>
    </row>
    <row r="4" spans="1:10" ht="15.75" customHeight="1">
      <c r="B4" s="5" t="s">
        <v>78</v>
      </c>
      <c r="C4" s="175">
        <f>Operation!C25</f>
        <v>425149.435</v>
      </c>
      <c r="D4" s="44">
        <f>Operation!E25</f>
        <v>466631.11719047633</v>
      </c>
      <c r="E4" s="44">
        <f>Operation!G25</f>
        <v>495693.408039984</v>
      </c>
      <c r="F4" s="192" t="str">
        <f>Operation!I25</f>
        <v/>
      </c>
      <c r="G4" s="273">
        <f>IF(F3="",IF(E3="",1,2),3)</f>
        <v>2</v>
      </c>
      <c r="H4" s="6"/>
      <c r="I4" s="77"/>
      <c r="J4" s="55"/>
    </row>
    <row r="5" spans="1:10" ht="15.75" customHeight="1">
      <c r="B5" s="17" t="s">
        <v>252</v>
      </c>
      <c r="C5" s="233"/>
      <c r="D5" s="234">
        <f>D4/C4-1</f>
        <v>9.7569651457907636E-2</v>
      </c>
      <c r="E5" s="234">
        <f>IF(E4="","",E4/D4-1)</f>
        <v>6.2281081948601713E-2</v>
      </c>
      <c r="F5" s="234" t="str">
        <f>IF(F4="","",F4/E4-1)</f>
        <v/>
      </c>
      <c r="G5" s="189"/>
      <c r="H5" s="6"/>
      <c r="I5" s="77"/>
      <c r="J5" s="55"/>
    </row>
    <row r="6" spans="1:10" ht="15.75" customHeight="1">
      <c r="B6" s="17" t="s">
        <v>66</v>
      </c>
      <c r="C6" s="64">
        <v>0.3</v>
      </c>
      <c r="D6" s="213">
        <f>C6</f>
        <v>0.3</v>
      </c>
      <c r="E6" s="64">
        <f>D6</f>
        <v>0.3</v>
      </c>
      <c r="F6" s="277"/>
      <c r="G6" s="190"/>
      <c r="H6" s="6"/>
      <c r="I6" s="75"/>
    </row>
    <row r="7" spans="1:10" ht="15" customHeight="1" thickBot="1">
      <c r="B7" s="79" t="s">
        <v>248</v>
      </c>
      <c r="C7" s="278">
        <f>C4*C6</f>
        <v>127544.8305</v>
      </c>
      <c r="D7" s="278">
        <f>D4*D6</f>
        <v>139989.33515714289</v>
      </c>
      <c r="E7" s="279">
        <f>E4*E6</f>
        <v>148708.02241199519</v>
      </c>
      <c r="F7" s="279"/>
      <c r="G7" s="191"/>
      <c r="H7" s="80"/>
      <c r="I7" s="55"/>
      <c r="J7" s="55"/>
    </row>
    <row r="8" spans="1:10" ht="15.75" customHeight="1" thickTop="1">
      <c r="B8" s="17" t="s">
        <v>140</v>
      </c>
      <c r="C8" s="183">
        <f>IF(C4="","",C4-C7)</f>
        <v>297604.60450000002</v>
      </c>
      <c r="D8" s="182">
        <f>D4-D7</f>
        <v>326641.78203333344</v>
      </c>
      <c r="E8" s="182">
        <f>IF(E4="","",E4-E7)</f>
        <v>346985.38562798884</v>
      </c>
      <c r="F8" s="182" t="str">
        <f>IF(F4="","",F4-F7)</f>
        <v/>
      </c>
      <c r="G8" s="364"/>
      <c r="H8" s="80"/>
      <c r="I8" s="55"/>
      <c r="J8" s="55"/>
    </row>
    <row r="9" spans="1:10" ht="15.75" customHeight="1">
      <c r="B9" s="194" t="s">
        <v>207</v>
      </c>
      <c r="C9" s="184">
        <f>C8/(Common_Shares/Data!$C$4)</f>
        <v>0.43071176985643167</v>
      </c>
      <c r="D9" s="275">
        <f>D8/(Common_Shares/Data!$C$4)</f>
        <v>0.47273616712014216</v>
      </c>
      <c r="E9" s="275">
        <f>IF(E8="","",E8/(Common_Shares/Data!$C$4))</f>
        <v>0.50217868708461977</v>
      </c>
      <c r="F9" s="275" t="str">
        <f>IF(F8="","",F8/(Common_Shares/Data!$C$4))</f>
        <v/>
      </c>
      <c r="G9" s="383">
        <f>IF(F4="",IF(E4="",D8,E8),F8)*Data!C$4/Dashboard!I5</f>
        <v>0.50217868708461966</v>
      </c>
      <c r="H9" s="80"/>
      <c r="I9" s="55"/>
      <c r="J9" s="55"/>
    </row>
    <row r="10" spans="1:10" ht="15.75" customHeight="1">
      <c r="B10" s="17" t="s">
        <v>141</v>
      </c>
      <c r="C10" s="181"/>
      <c r="D10" s="210">
        <f ca="1">Dashboard!C12</f>
        <v>0.06</v>
      </c>
      <c r="E10" s="18">
        <f ca="1">IF(E4="","",D10)</f>
        <v>0.06</v>
      </c>
      <c r="F10" s="18" t="str">
        <f>IF(F4="","",D10)</f>
        <v/>
      </c>
      <c r="G10" s="381">
        <f ca="1">Dashboard!C12</f>
        <v>0.06</v>
      </c>
      <c r="H10" s="61"/>
      <c r="I10" s="56"/>
      <c r="J10" s="56"/>
    </row>
    <row r="11" spans="1:10" ht="15.75" customHeight="1" thickBot="1">
      <c r="B11" s="81" t="s">
        <v>142</v>
      </c>
      <c r="C11" s="110"/>
      <c r="D11" s="211">
        <f ca="1">IF(D4="","",1+D10)</f>
        <v>1.06</v>
      </c>
      <c r="E11" s="212">
        <f ca="1">IF(E4="","",(1+D10)*(1+E10))</f>
        <v>1.1236000000000002</v>
      </c>
      <c r="F11" s="212" t="str">
        <f>IF(F4="","",(1+D10)*(1+E10)*(1+F10))</f>
        <v/>
      </c>
      <c r="G11" s="384">
        <f ca="1">IF(F4="",IF(E4="",D11,E11),F11)*(1+G10)</f>
        <v>1.1910160000000003</v>
      </c>
      <c r="H11" s="61"/>
      <c r="I11" s="56"/>
      <c r="J11" s="56"/>
    </row>
    <row r="12" spans="1:10" ht="15.75" customHeight="1" thickTop="1">
      <c r="B12" s="8" t="s">
        <v>354</v>
      </c>
      <c r="C12" s="328"/>
      <c r="D12" s="186">
        <f ca="1">IF(D9="","",D9/D11)</f>
        <v>0.4459775161510775</v>
      </c>
      <c r="E12" s="187">
        <f ca="1">IF(E9="","",E9/E11)</f>
        <v>0.44693724375633653</v>
      </c>
      <c r="F12" s="187" t="str">
        <f>IF(F9="","",F9/F11)</f>
        <v/>
      </c>
      <c r="G12" s="385"/>
      <c r="H12" s="78"/>
      <c r="I12" s="55"/>
      <c r="J12" s="55"/>
    </row>
    <row r="13" spans="1:10" ht="15.75" customHeight="1">
      <c r="F13" s="6"/>
      <c r="G13" s="111"/>
    </row>
    <row r="14" spans="1:10" ht="15.75" customHeight="1">
      <c r="B14" s="339" t="s">
        <v>210</v>
      </c>
      <c r="C14" s="185" t="str">
        <f>B3</f>
        <v>(Numbers in 1000HKD)</v>
      </c>
      <c r="E14" s="70" t="s">
        <v>211</v>
      </c>
    </row>
    <row r="15" spans="1:10" ht="15.75" customHeight="1">
      <c r="B15" s="57" t="s">
        <v>222</v>
      </c>
      <c r="C15" s="82">
        <f>Asset_Model!E59</f>
        <v>5385923</v>
      </c>
      <c r="D15" s="207">
        <f>C15/(Dashboard!I5/Data!C4)</f>
        <v>7.7948405117517661</v>
      </c>
      <c r="E15" s="83" t="s">
        <v>220</v>
      </c>
      <c r="G15" s="130">
        <f>C15+C16+C17+C18</f>
        <v>5184529.2</v>
      </c>
    </row>
    <row r="16" spans="1:10" ht="15.75" customHeight="1">
      <c r="B16" s="57" t="s">
        <v>226</v>
      </c>
      <c r="C16" s="82">
        <f>Asset_Model!E58</f>
        <v>52594.2</v>
      </c>
      <c r="D16" s="207">
        <f>C16/(Dashboard!I5/Data!C4)</f>
        <v>7.6117575547064956E-2</v>
      </c>
      <c r="E16" s="83" t="s">
        <v>303</v>
      </c>
      <c r="G16" s="188">
        <f>(G15+MIN(D4,0))*Data!C$4/Dashboard!I5</f>
        <v>7.5033709621396314</v>
      </c>
    </row>
    <row r="17" spans="1:9" ht="15.75" customHeight="1">
      <c r="B17" s="57" t="s">
        <v>212</v>
      </c>
      <c r="C17" s="82">
        <f>-Asset_Model!D52</f>
        <v>-99060</v>
      </c>
      <c r="D17" s="207">
        <f>C17/(Dashboard!I5/Data!C4)</f>
        <v>-0.14336575199722126</v>
      </c>
      <c r="E17" s="491" t="str">
        <f>IF(F18+G18=G16,"⇒","Error!")</f>
        <v>⇒</v>
      </c>
      <c r="F17" s="139" t="s">
        <v>227</v>
      </c>
      <c r="G17" s="85" t="s">
        <v>22</v>
      </c>
    </row>
    <row r="18" spans="1:9" ht="15.75" customHeight="1">
      <c r="B18" s="83" t="s">
        <v>221</v>
      </c>
      <c r="C18" s="82">
        <f>-Asset_Model!E50</f>
        <v>-154928</v>
      </c>
      <c r="D18" s="207">
        <f>C18/(Dashboard!I5/Data!C4)</f>
        <v>-0.22422137316197754</v>
      </c>
      <c r="E18" s="491"/>
      <c r="F18" s="141">
        <f>D15+(MIN(D4,0)*Data!C$4/Dashboard!I5)</f>
        <v>7.7948405117517661</v>
      </c>
      <c r="G18" s="140">
        <f>SUM(D16:D18)</f>
        <v>-0.29146954961213384</v>
      </c>
    </row>
    <row r="19" spans="1:9" ht="15.75" customHeight="1">
      <c r="F19" s="6"/>
      <c r="G19" s="6"/>
    </row>
    <row r="20" spans="1:9" ht="15.75" customHeight="1">
      <c r="B20" s="25" t="s">
        <v>360</v>
      </c>
      <c r="C20" s="185" t="str">
        <f>B3</f>
        <v>(Numbers in 1000HKD)</v>
      </c>
      <c r="E20" s="492" t="s">
        <v>216</v>
      </c>
      <c r="F20" s="492"/>
      <c r="G20" s="92"/>
    </row>
    <row r="21" spans="1:9" ht="15.75" customHeight="1">
      <c r="B21" s="121" t="str">
        <f>"TV after Year "&amp;G4</f>
        <v>TV after Year 2</v>
      </c>
      <c r="C21" s="121" t="s">
        <v>214</v>
      </c>
      <c r="D21" s="193" t="s">
        <v>209</v>
      </c>
      <c r="E21" s="274" t="s">
        <v>215</v>
      </c>
      <c r="F21" s="241" t="str">
        <f>"Equity Value ("&amp;Dashboard!I11&amp;")"</f>
        <v>Equity Value (HKD)</v>
      </c>
      <c r="G21" s="334" t="str">
        <f>"Equity Value ("&amp;Dashboard!J4&amp;")"</f>
        <v>Equity Value (HKD)</v>
      </c>
      <c r="I21" s="84"/>
    </row>
    <row r="22" spans="1:9" ht="15.75" customHeight="1">
      <c r="B22" s="29" t="s">
        <v>273</v>
      </c>
      <c r="C22" s="14">
        <f>1/D22</f>
        <v>0.16666666666666666</v>
      </c>
      <c r="D22" s="269">
        <v>6</v>
      </c>
      <c r="E22" s="196">
        <f ca="1">IF(G9&lt;0,G9,G9*D22/G11)</f>
        <v>2.5298334552245456</v>
      </c>
      <c r="F22" s="332">
        <f ca="1">E22+$G$16</f>
        <v>10.033204417364177</v>
      </c>
      <c r="G22" s="335">
        <f ca="1">ROUND(F22*Exchange_Rate,2)</f>
        <v>10.029999999999999</v>
      </c>
      <c r="I22" s="72"/>
    </row>
    <row r="23" spans="1:9" ht="15.75" customHeight="1" thickBot="1">
      <c r="B23" s="329" t="s">
        <v>274</v>
      </c>
      <c r="C23" s="330">
        <f>1/D23</f>
        <v>0.125</v>
      </c>
      <c r="D23" s="282">
        <v>8</v>
      </c>
      <c r="E23" s="331">
        <f ca="1">IF(G9&lt;0,G9,G9*D23/G11)</f>
        <v>3.3731112736327273</v>
      </c>
      <c r="F23" s="333">
        <f ca="1">E23+$G$16</f>
        <v>10.876482235772359</v>
      </c>
      <c r="G23" s="336">
        <f ca="1">ROUND(F23*Exchange_Rate,2)</f>
        <v>10.88</v>
      </c>
      <c r="I23" s="72"/>
    </row>
    <row r="24" spans="1:9" ht="15.5" customHeight="1" thickTop="1">
      <c r="C24" s="6"/>
      <c r="D24" s="6"/>
      <c r="E24" s="493" t="s">
        <v>359</v>
      </c>
      <c r="F24" s="494"/>
      <c r="G24" s="365">
        <f ca="1">MIN(G22,G23)+ABS(G22-G23)*'Qualitative Analysis'!$E$64</f>
        <v>10.421397534013606</v>
      </c>
    </row>
    <row r="25" spans="1:9" ht="15.75" customHeight="1"/>
    <row r="26" spans="1:9" ht="15.75" customHeight="1">
      <c r="A26" s="4"/>
      <c r="B26" s="88" t="s">
        <v>349</v>
      </c>
      <c r="C26" s="257" t="s">
        <v>241</v>
      </c>
      <c r="D26" s="257">
        <v>1</v>
      </c>
      <c r="E26" s="257">
        <v>2</v>
      </c>
      <c r="F26" s="257">
        <v>3</v>
      </c>
      <c r="G26" s="257" t="str">
        <f>G2</f>
        <v>TV after Year 2</v>
      </c>
      <c r="H26" s="12"/>
      <c r="I26" s="12"/>
    </row>
    <row r="27" spans="1:9" ht="15.75" customHeight="1">
      <c r="B27" s="28" t="str">
        <f>B3</f>
        <v>(Numbers in 1000HKD)</v>
      </c>
      <c r="C27" s="253">
        <f>C3</f>
        <v>44926</v>
      </c>
      <c r="D27" s="253">
        <f>D3</f>
        <v>45291</v>
      </c>
      <c r="E27" s="253">
        <f>E3</f>
        <v>45657</v>
      </c>
      <c r="F27" s="253" t="str">
        <f>F3</f>
        <v/>
      </c>
      <c r="G27" s="27" t="str">
        <f>G3</f>
        <v>Terminal Value</v>
      </c>
      <c r="I27" s="72" t="s">
        <v>376</v>
      </c>
    </row>
    <row r="28" spans="1:9" ht="15.75" customHeight="1">
      <c r="B28" s="5" t="s">
        <v>140</v>
      </c>
      <c r="C28" s="26">
        <f>C4</f>
        <v>425149.435</v>
      </c>
      <c r="D28" s="26">
        <f>D4</f>
        <v>466631.11719047633</v>
      </c>
      <c r="E28" s="26">
        <f>E4</f>
        <v>495693.408039984</v>
      </c>
      <c r="F28" s="361" t="str">
        <f>F4</f>
        <v/>
      </c>
      <c r="G28" s="386">
        <f>E28*1.02</f>
        <v>505607.27620078367</v>
      </c>
      <c r="I28" s="72" t="s">
        <v>373</v>
      </c>
    </row>
    <row r="29" spans="1:9" ht="15.75" customHeight="1">
      <c r="B29" s="362" t="s">
        <v>350</v>
      </c>
      <c r="C29" s="64">
        <f>5.31095%+1.8%</f>
        <v>7.1109500000000006E-2</v>
      </c>
      <c r="D29" s="213">
        <v>0.08</v>
      </c>
      <c r="E29" s="64">
        <v>0.08</v>
      </c>
      <c r="F29" s="277"/>
      <c r="G29" s="277">
        <v>0.06</v>
      </c>
      <c r="I29" s="72" t="s">
        <v>364</v>
      </c>
    </row>
    <row r="30" spans="1:9" ht="15.75" customHeight="1">
      <c r="B30" s="362" t="s">
        <v>362</v>
      </c>
      <c r="C30" s="387">
        <f>C17</f>
        <v>-99060</v>
      </c>
      <c r="D30" s="369">
        <v>107000</v>
      </c>
      <c r="E30" s="368">
        <f>D30*1.05</f>
        <v>112350</v>
      </c>
      <c r="F30" s="368"/>
      <c r="G30" s="368">
        <f>IF(F30&lt;&gt;"",F30,IF(E30&lt;&gt;"",E30,D30))*1.4</f>
        <v>157290</v>
      </c>
      <c r="I30" s="72" t="s">
        <v>363</v>
      </c>
    </row>
    <row r="31" spans="1:9" ht="15.75" customHeight="1">
      <c r="B31" s="362" t="s">
        <v>369</v>
      </c>
      <c r="C31" s="388">
        <f>Operation!C23</f>
        <v>0.16500000000000001</v>
      </c>
      <c r="D31" s="388">
        <f>Operation!E23</f>
        <v>0.16500000000000001</v>
      </c>
      <c r="E31" s="388">
        <f>Operation!G23</f>
        <v>0.16500000000000001</v>
      </c>
      <c r="F31" s="388" t="str">
        <f>Operation!I23</f>
        <v/>
      </c>
      <c r="G31" s="388">
        <f>IF(F31&lt;&gt;"",F31,IF(E31&lt;&gt;"",E31,D31))</f>
        <v>0.16500000000000001</v>
      </c>
      <c r="I31" s="72"/>
    </row>
    <row r="32" spans="1:9" ht="15.75" customHeight="1" thickBot="1">
      <c r="B32" s="363" t="s">
        <v>368</v>
      </c>
      <c r="C32" s="366">
        <f>C30*(C29*(1-Operation!C23))</f>
        <v>-5881.8294034499995</v>
      </c>
      <c r="D32" s="366">
        <f>(D30*D29)*(1-D31)</f>
        <v>7147.5999999999995</v>
      </c>
      <c r="E32" s="367">
        <f>IF(E28="","",(E30*E29)*(1-E31))</f>
        <v>7504.98</v>
      </c>
      <c r="F32" s="367" t="str">
        <f>IF(F28="","",(F30*F29)*(1-F31))</f>
        <v/>
      </c>
      <c r="G32" s="366">
        <f>(G30*G29)*(1-Operation!E23)</f>
        <v>7880.2289999999994</v>
      </c>
      <c r="I32" s="72"/>
    </row>
    <row r="33" spans="1:9" ht="15.75" customHeight="1" thickTop="1">
      <c r="B33" s="362" t="s">
        <v>351</v>
      </c>
      <c r="C33" s="183">
        <f>C28-C32</f>
        <v>431031.26440345001</v>
      </c>
      <c r="D33" s="182">
        <f>D28-D32</f>
        <v>459483.51719047636</v>
      </c>
      <c r="E33" s="182">
        <f>IF(E28="","",E28-E32)</f>
        <v>488188.42803998402</v>
      </c>
      <c r="F33" s="182" t="str">
        <f>IF(F28="","",F28-F32)</f>
        <v/>
      </c>
      <c r="G33" s="371">
        <f>G28-G32</f>
        <v>497727.04720078368</v>
      </c>
      <c r="I33" s="72" t="s">
        <v>356</v>
      </c>
    </row>
    <row r="34" spans="1:9" ht="15.75" customHeight="1">
      <c r="B34" s="267" t="s">
        <v>352</v>
      </c>
      <c r="C34" s="184">
        <f>C33/(Common_Shares/Data!$C$4)</f>
        <v>0.62381507526260571</v>
      </c>
      <c r="D34" s="275">
        <f>D33/(Common_Shares/Data!$C$4)</f>
        <v>0.66499293329639397</v>
      </c>
      <c r="E34" s="275">
        <f>IF(E33="","",E33/(Common_Shares/Data!$C$4))</f>
        <v>0.70653645368759987</v>
      </c>
      <c r="F34" s="275" t="str">
        <f>IF(F33="","",F33/(Common_Shares/Data!$C$4))</f>
        <v/>
      </c>
      <c r="G34" s="184">
        <f>G33/(Common_Shares/Data!$C$4)</f>
        <v>0.72034133263978184</v>
      </c>
      <c r="H34" s="6"/>
      <c r="I34" s="72"/>
    </row>
    <row r="35" spans="1:9" ht="15.75" customHeight="1">
      <c r="B35" s="362" t="s">
        <v>358</v>
      </c>
      <c r="C35" s="370">
        <f>Dashboard!C31</f>
        <v>11.9</v>
      </c>
      <c r="D35" s="210">
        <f ca="1">D10</f>
        <v>0.06</v>
      </c>
      <c r="E35" s="18">
        <f ca="1">IF(E10="","",E10)</f>
        <v>0.06</v>
      </c>
      <c r="F35" s="18" t="str">
        <f>IF(F10="","",F10)</f>
        <v/>
      </c>
      <c r="G35" s="381">
        <f ca="1">G10</f>
        <v>0.06</v>
      </c>
      <c r="I35" s="72"/>
    </row>
    <row r="36" spans="1:9" ht="15.75" customHeight="1" thickBot="1">
      <c r="B36" s="363" t="s">
        <v>357</v>
      </c>
      <c r="C36" s="375"/>
      <c r="D36" s="376">
        <f ca="1">C35*D35</f>
        <v>0.71399999999999997</v>
      </c>
      <c r="E36" s="377">
        <f ca="1">IF(E35="","", $D$36)</f>
        <v>0.71399999999999997</v>
      </c>
      <c r="F36" s="377" t="str">
        <f>IF(F35="","", $D$36)</f>
        <v/>
      </c>
      <c r="G36" s="382">
        <f ca="1">D36</f>
        <v>0.71399999999999997</v>
      </c>
      <c r="H36" s="6"/>
      <c r="I36" s="72"/>
    </row>
    <row r="37" spans="1:9" ht="15.75" customHeight="1" thickTop="1">
      <c r="B37" s="5" t="s">
        <v>353</v>
      </c>
      <c r="C37" s="391">
        <f>'Qualitative Analysis'!E64^2</f>
        <v>0.21203049084004355</v>
      </c>
      <c r="D37" s="373">
        <f ca="1">D34-D36</f>
        <v>-4.9007066703605995E-2</v>
      </c>
      <c r="E37" s="373">
        <f ca="1">IF(E34="","",E34-E36)</f>
        <v>-7.4635463124000934E-3</v>
      </c>
      <c r="F37" s="373" t="str">
        <f>IF(F34="","",F34-F36)</f>
        <v/>
      </c>
      <c r="G37" s="374">
        <f ca="1">G34-G36</f>
        <v>6.3413326397818714E-3</v>
      </c>
      <c r="I37" s="72" t="s">
        <v>355</v>
      </c>
    </row>
    <row r="38" spans="1:9" ht="15.75" customHeight="1" thickBot="1">
      <c r="B38" s="5" t="s">
        <v>142</v>
      </c>
      <c r="C38" s="372"/>
      <c r="D38" s="378">
        <f ca="1">D11</f>
        <v>1.06</v>
      </c>
      <c r="E38" s="378">
        <f ca="1">E11</f>
        <v>1.1236000000000002</v>
      </c>
      <c r="F38" s="378" t="str">
        <f>F11</f>
        <v/>
      </c>
      <c r="G38" s="378">
        <f ca="1">IF(F30="",IF(E30="",D38,E38),F38)*(1+G37-C37)</f>
        <v>0.89248766184618611</v>
      </c>
      <c r="I38" s="72"/>
    </row>
    <row r="39" spans="1:9" ht="15.75" customHeight="1" thickTop="1">
      <c r="B39" s="5" t="s">
        <v>367</v>
      </c>
      <c r="C39" s="379"/>
      <c r="D39" s="380">
        <f ca="1">D37/D38</f>
        <v>-4.6233081795854711E-2</v>
      </c>
      <c r="E39" s="380">
        <f ca="1">IF(E37="","",E37/E38)</f>
        <v>-6.6425296479174908E-3</v>
      </c>
      <c r="F39" s="380" t="str">
        <f>IF(F37="","",F37/F38)</f>
        <v/>
      </c>
      <c r="G39" s="380">
        <f ca="1">G37/G38</f>
        <v>7.1052328349999697E-3</v>
      </c>
      <c r="I39" s="72"/>
    </row>
    <row r="40" spans="1:9" ht="15.75" customHeight="1" thickBot="1">
      <c r="B40" s="6"/>
      <c r="C40" s="6"/>
      <c r="D40" s="6"/>
      <c r="E40" s="495" t="s">
        <v>377</v>
      </c>
      <c r="F40" s="496"/>
      <c r="G40" s="389">
        <f>Asset_Model!D7</f>
        <v>12.975120339817066</v>
      </c>
    </row>
    <row r="41" spans="1:9" ht="15.75" customHeight="1" thickTop="1">
      <c r="E41" s="493" t="s">
        <v>361</v>
      </c>
      <c r="F41" s="494"/>
      <c r="G41" s="365">
        <f ca="1">(G40+SUM(D39:G39))*Exchange_Rate</f>
        <v>12.929349961208294</v>
      </c>
    </row>
    <row r="42" spans="1:9" ht="15.5" customHeight="1"/>
    <row r="43" spans="1:9" ht="15.75" customHeight="1">
      <c r="B43" s="25" t="s">
        <v>311</v>
      </c>
      <c r="C43" s="489" t="s">
        <v>143</v>
      </c>
      <c r="D43" s="490"/>
      <c r="E43" s="29" t="s">
        <v>208</v>
      </c>
      <c r="F43" s="29" t="s">
        <v>18</v>
      </c>
      <c r="G43" s="29"/>
    </row>
    <row r="44" spans="1:9" ht="15.75" customHeight="1">
      <c r="B44" s="232" t="s">
        <v>309</v>
      </c>
      <c r="C44" s="230">
        <f ca="1">MIN(G24,G41)+ABS(G24-G41)*'Qualitative Analysis'!$E$8</f>
        <v>11.926168990330419</v>
      </c>
      <c r="D44" s="115" t="str">
        <f>Dashboard!J4</f>
        <v>HKD</v>
      </c>
      <c r="E44" s="116">
        <f ca="1">(C44-G16)/C9</f>
        <v>10.268579448537082</v>
      </c>
      <c r="F44" s="151">
        <f ca="1">C44/(Data!C28*Exchange_Rate*Data!C4/Common_Shares)</f>
        <v>0.40954565117831115</v>
      </c>
      <c r="G44" s="85"/>
    </row>
    <row r="45" spans="1:9" ht="15.75" customHeight="1"/>
    <row r="46" spans="1:9" ht="15.75" customHeight="1">
      <c r="A46" s="4"/>
      <c r="B46" s="88" t="s">
        <v>304</v>
      </c>
      <c r="E46" s="29" t="s">
        <v>208</v>
      </c>
      <c r="F46" s="29" t="s">
        <v>18</v>
      </c>
      <c r="G46" s="126"/>
      <c r="H46" s="126"/>
      <c r="I46" s="194"/>
    </row>
    <row r="47" spans="1:9" ht="15.75" customHeight="1">
      <c r="B47" s="325" t="s">
        <v>370</v>
      </c>
      <c r="C47" s="327">
        <f>Asset_Model!I3*Exchange_Rate*Data!C4/Common_Shares*0.49</f>
        <v>14.159170371656824</v>
      </c>
      <c r="D47" s="326" t="str">
        <f>D44</f>
        <v>HKD</v>
      </c>
      <c r="E47" s="116">
        <f>(C47-G16)/C9</f>
        <v>15.453024215557791</v>
      </c>
      <c r="F47" s="151">
        <f>C47/(Asset_Model!I3*Exchange_Rate*Data!C4/Common_Shares)</f>
        <v>0.49</v>
      </c>
      <c r="I47" s="72" t="s">
        <v>365</v>
      </c>
    </row>
    <row r="48" spans="1:9" ht="15.75" customHeight="1">
      <c r="B48" s="340" t="s">
        <v>371</v>
      </c>
      <c r="C48" s="338">
        <f ca="1">MIN(C47,C44)+ABS(C47-C44)*'Qualitative Analysis'!E64</f>
        <v>12.95439397162469</v>
      </c>
      <c r="D48" s="326" t="str">
        <f>D47</f>
        <v>HKD</v>
      </c>
      <c r="E48" s="116">
        <f ca="1">(C48-G16)/C9</f>
        <v>12.655848739174315</v>
      </c>
      <c r="F48" s="151">
        <f ca="1">C48/(Asset_Model!I3*Exchange_Rate*Data!C4/Common_Shares)</f>
        <v>0.44830684845791091</v>
      </c>
      <c r="I48" s="72"/>
    </row>
    <row r="49" spans="2:6" ht="15.75" customHeight="1">
      <c r="B49" s="325" t="s">
        <v>310</v>
      </c>
      <c r="C49" s="338">
        <f ca="1">MAX(G41,C44)/(1+Dashboard!I14)</f>
        <v>10.343479968966635</v>
      </c>
      <c r="D49" s="326" t="str">
        <f>D47</f>
        <v>HKD</v>
      </c>
      <c r="E49" s="116">
        <f ca="1">(C49-G16)/C9</f>
        <v>6.5939897759787058</v>
      </c>
      <c r="F49" s="151">
        <f ca="1">C49/(Asset_Model!I3*Exchange_Rate*Data!C4/Common_Shares)</f>
        <v>0.35795212938034499</v>
      </c>
    </row>
    <row r="50" spans="2:6" ht="15.75" customHeight="1"/>
    <row r="51" spans="2:6" ht="15.75" customHeight="1"/>
    <row r="52" spans="2:6" ht="15.75" customHeight="1"/>
    <row r="53" spans="2:6" ht="15.75" customHeight="1"/>
    <row r="54" spans="2:6" ht="15.75" customHeight="1"/>
    <row r="55" spans="2:6" ht="15.75" customHeight="1"/>
    <row r="56" spans="2:6" ht="15.75" customHeight="1"/>
    <row r="57" spans="2:6" ht="15.75" customHeight="1"/>
    <row r="58" spans="2:6" ht="15.75" customHeight="1"/>
    <row r="59" spans="2:6" ht="15.75" customHeight="1"/>
    <row r="60" spans="2:6" ht="15.75" customHeight="1"/>
    <row r="61" spans="2:6" ht="15.75" customHeight="1"/>
    <row r="62" spans="2:6" ht="15.75" customHeight="1"/>
    <row r="63" spans="2:6" ht="15.75" customHeight="1"/>
    <row r="64" spans="2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</sheetData>
  <mergeCells count="6">
    <mergeCell ref="C43:D43"/>
    <mergeCell ref="E17:E18"/>
    <mergeCell ref="E20:F20"/>
    <mergeCell ref="E24:F24"/>
    <mergeCell ref="E41:F41"/>
    <mergeCell ref="E40:F40"/>
  </mergeCells>
  <phoneticPr fontId="31" type="noConversion"/>
  <conditionalFormatting sqref="E4:F12 E28:F39">
    <cfRule type="containsBlanks" dxfId="2" priority="14">
      <formula>LEN(TRIM(E4))=0</formula>
    </cfRule>
  </conditionalFormatting>
  <conditionalFormatting sqref="E22:G23">
    <cfRule type="cellIs" dxfId="1" priority="38" operator="equal">
      <formula>#REF!</formula>
    </cfRule>
  </conditionalFormatting>
  <conditionalFormatting sqref="G28:G32">
    <cfRule type="containsBlanks" dxfId="0" priority="1">
      <formula>LEN(TRIM(G28))=0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43" zoomScaleNormal="100" workbookViewId="0">
      <selection activeCell="E4" sqref="E4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144</v>
      </c>
      <c r="C2" s="91"/>
      <c r="D2" s="12"/>
      <c r="E2" s="12"/>
      <c r="G2" s="70" t="s">
        <v>132</v>
      </c>
    </row>
    <row r="3" spans="1:7" ht="14">
      <c r="B3" s="6" t="s">
        <v>256</v>
      </c>
      <c r="C3" s="92"/>
      <c r="D3" s="90">
        <f>IF(E3="Strongly disagree",0,IF(E3="disagree",1,IF(E3="unclear",2,IF(E3="agree",3,4))))</f>
        <v>2</v>
      </c>
      <c r="E3" s="30" t="s">
        <v>145</v>
      </c>
      <c r="G3" s="77" t="s">
        <v>280</v>
      </c>
    </row>
    <row r="4" spans="1:7" ht="14">
      <c r="B4" s="6" t="s">
        <v>258</v>
      </c>
      <c r="C4" s="92"/>
      <c r="D4" s="90">
        <f t="shared" ref="D4" si="0">IF(E4="Strongly disagree",0,IF(E4="disagree",1,IF(E4="unclear",2,IF(E4="agree",3,4))))</f>
        <v>4</v>
      </c>
      <c r="E4" s="30" t="s">
        <v>155</v>
      </c>
      <c r="G4" s="75"/>
    </row>
    <row r="5" spans="1:7" ht="14">
      <c r="B5" s="6" t="s">
        <v>253</v>
      </c>
      <c r="C5" s="92"/>
      <c r="D5" s="90">
        <f>AVERAGE(D12:D16)</f>
        <v>1.4</v>
      </c>
      <c r="E5" s="98" t="str">
        <f>IF(D5&gt;=3.5,"Strongly agree",IF(D5&gt;=2.5,"agree",IF(D5&gt;=1.5,"unclear",IF(D5&gt;=0.5,"disagree","Strongly disagree"))))</f>
        <v>disagree</v>
      </c>
      <c r="G5" s="75"/>
    </row>
    <row r="6" spans="1:7" ht="14">
      <c r="B6" s="6" t="s">
        <v>254</v>
      </c>
      <c r="C6" s="92"/>
      <c r="D6" s="90">
        <f>AVERAGE(D24:D28)</f>
        <v>2.6</v>
      </c>
      <c r="E6" s="98" t="str">
        <f>IF(D6&gt;=3.5,"Strongly agree",IF(D6&gt;=2.5,"agree",IF(D6&gt;=1.5,"unclear",IF(D6&gt;=0.5,"disagree","Strongly disagree"))))</f>
        <v>agree</v>
      </c>
      <c r="G6" s="75"/>
    </row>
    <row r="7" spans="1:7" ht="14">
      <c r="B7" s="6" t="s">
        <v>255</v>
      </c>
      <c r="C7" s="92"/>
      <c r="D7" s="96">
        <f>IF(E7="Strongly disagree",0,IF(E7="disagree",1,IF(E7="unclear",2,IF(E7="agree",3,4))))</f>
        <v>2</v>
      </c>
      <c r="E7" s="97" t="str">
        <f>IF(D64&gt;=3.5,"Strongly agree",IF(D64&gt;=2.5,"agree",IF(D64&gt;=1.5,"unclear",IF(D64&gt;=0.5,"disagree","Strongly disagree"))))</f>
        <v>unclear</v>
      </c>
      <c r="G7" s="77"/>
    </row>
    <row r="8" spans="1:7" ht="14">
      <c r="B8" s="93" t="s">
        <v>147</v>
      </c>
      <c r="C8" s="92"/>
      <c r="D8" s="90">
        <f>AVERAGE(D3:D7)</f>
        <v>2.4</v>
      </c>
      <c r="E8" s="94">
        <f>D8/4</f>
        <v>0.6</v>
      </c>
      <c r="G8" s="75"/>
    </row>
    <row r="9" spans="1:7" ht="14">
      <c r="B9" s="92"/>
      <c r="C9" s="92"/>
      <c r="E9" s="6"/>
      <c r="G9" s="75"/>
    </row>
    <row r="10" spans="1:7" ht="15" customHeight="1">
      <c r="A10" s="4"/>
      <c r="B10" s="11" t="s">
        <v>148</v>
      </c>
      <c r="C10" s="20"/>
      <c r="D10" s="20"/>
      <c r="E10" s="12"/>
      <c r="G10" s="266"/>
    </row>
    <row r="11" spans="1:7" ht="15" customHeight="1">
      <c r="B11" s="95" t="s">
        <v>149</v>
      </c>
      <c r="C11" s="89"/>
      <c r="E11" s="6"/>
      <c r="G11" s="266"/>
    </row>
    <row r="12" spans="1:7" ht="15" customHeight="1">
      <c r="B12" s="52" t="s">
        <v>257</v>
      </c>
      <c r="D12" s="96">
        <f>IF(E12="Strongly disagree",0,IF(E12="disagree",1,IF(E12="unclear",2,IF(E12="agree",3,4))))</f>
        <v>1</v>
      </c>
      <c r="E12" s="30" t="s">
        <v>153</v>
      </c>
      <c r="F12" s="6"/>
      <c r="G12" s="266"/>
    </row>
    <row r="13" spans="1:7" ht="15" customHeight="1">
      <c r="B13" s="52" t="s">
        <v>150</v>
      </c>
      <c r="D13" s="96">
        <f>IF(E13="Strongly disagree",0,IF(E13="disagree",1,IF(E13="unclear",2,IF(E13="agree",3,4))))</f>
        <v>2</v>
      </c>
      <c r="E13" s="30" t="s">
        <v>145</v>
      </c>
      <c r="F13" s="6"/>
      <c r="G13" s="266"/>
    </row>
    <row r="14" spans="1:7" ht="15" customHeight="1">
      <c r="B14" s="52" t="s">
        <v>151</v>
      </c>
      <c r="D14" s="96">
        <f>IF(E14="Strongly disagree",0,IF(E14="disagree",1,IF(E14="unclear",2,IF(E14="agree",3,4))))</f>
        <v>0</v>
      </c>
      <c r="E14" s="30" t="s">
        <v>168</v>
      </c>
      <c r="F14" s="6"/>
      <c r="G14" s="266"/>
    </row>
    <row r="15" spans="1:7" ht="15" customHeight="1">
      <c r="B15" s="52" t="s">
        <v>152</v>
      </c>
      <c r="D15" s="96">
        <f>IF(E15="Strongly disagree",0,IF(E15="disagree",1,IF(E15="unclear",2,IF(E15="agree",3,4))))</f>
        <v>0</v>
      </c>
      <c r="E15" s="30" t="s">
        <v>168</v>
      </c>
      <c r="F15" s="6"/>
      <c r="G15" s="266" t="s">
        <v>315</v>
      </c>
    </row>
    <row r="16" spans="1:7" ht="15" customHeight="1">
      <c r="B16" s="52" t="s">
        <v>154</v>
      </c>
      <c r="D16" s="96">
        <f>IF(E16="Strongly disagree",0,IF(E16="disagree",1,IF(E16="unclear",2,IF(E16="agree",3,4))))</f>
        <v>4</v>
      </c>
      <c r="E16" s="30" t="s">
        <v>155</v>
      </c>
      <c r="F16" s="6"/>
      <c r="G16" s="266"/>
    </row>
    <row r="17" spans="2:7" ht="15" customHeight="1">
      <c r="B17" s="95" t="s">
        <v>156</v>
      </c>
      <c r="D17" s="37"/>
      <c r="E17" s="23"/>
      <c r="G17" s="266"/>
    </row>
    <row r="18" spans="2:7" ht="15" customHeight="1">
      <c r="B18" s="52" t="s">
        <v>277</v>
      </c>
      <c r="D18" s="96">
        <f>Asset_Model!J26</f>
        <v>4</v>
      </c>
      <c r="E18" s="48" t="str">
        <f>IF(D18&gt;=3.5,"Strongly agree",IF(D18&gt;=2.5,"agree",IF(D18&gt;=1.5,"unclear",IF(D18&gt;=0.5,"disagree","Strongly disagree"))))</f>
        <v>Strongly agree</v>
      </c>
      <c r="F18" s="6"/>
      <c r="G18" s="266"/>
    </row>
    <row r="19" spans="2:7" ht="15" customHeight="1">
      <c r="B19" s="52" t="s">
        <v>157</v>
      </c>
      <c r="D19" s="96">
        <f t="shared" ref="D19:D22" si="1">IF(E19="Strongly disagree",0,IF(E19="disagree",1,IF(E19="unclear",2,IF(E19="agree",3,4))))</f>
        <v>2</v>
      </c>
      <c r="E19" s="30" t="s">
        <v>145</v>
      </c>
      <c r="F19" s="6"/>
      <c r="G19" s="266"/>
    </row>
    <row r="20" spans="2:7" ht="15" customHeight="1">
      <c r="B20" s="52" t="s">
        <v>158</v>
      </c>
      <c r="D20" s="96">
        <f t="shared" si="1"/>
        <v>0</v>
      </c>
      <c r="E20" s="30" t="s">
        <v>168</v>
      </c>
      <c r="F20" s="6"/>
      <c r="G20" s="266"/>
    </row>
    <row r="21" spans="2:7" ht="15" customHeight="1">
      <c r="B21" s="52" t="s">
        <v>159</v>
      </c>
      <c r="D21" s="96">
        <f t="shared" si="1"/>
        <v>0</v>
      </c>
      <c r="E21" s="30" t="s">
        <v>168</v>
      </c>
      <c r="F21" s="6"/>
      <c r="G21" s="266"/>
    </row>
    <row r="22" spans="2:7" ht="15" customHeight="1">
      <c r="B22" s="52" t="s">
        <v>160</v>
      </c>
      <c r="D22" s="96">
        <f t="shared" si="1"/>
        <v>1</v>
      </c>
      <c r="E22" s="30" t="s">
        <v>153</v>
      </c>
      <c r="F22" s="6"/>
      <c r="G22" s="266"/>
    </row>
    <row r="23" spans="2:7" ht="15" customHeight="1">
      <c r="B23" s="95" t="s">
        <v>161</v>
      </c>
      <c r="D23" s="37"/>
      <c r="E23" s="23"/>
      <c r="G23" s="266"/>
    </row>
    <row r="24" spans="2:7" ht="15" customHeight="1">
      <c r="B24" s="52" t="s">
        <v>162</v>
      </c>
      <c r="D24" s="96">
        <f t="shared" ref="D24:D28" si="2">IF(E24="Strongly disagree",0,IF(E24="disagree",1,IF(E24="unclear",2,IF(E24="agree",3,4))))</f>
        <v>3</v>
      </c>
      <c r="E24" s="30" t="s">
        <v>146</v>
      </c>
      <c r="F24" s="6"/>
      <c r="G24" s="266"/>
    </row>
    <row r="25" spans="2:7" ht="15" customHeight="1">
      <c r="B25" s="52" t="s">
        <v>163</v>
      </c>
      <c r="D25" s="96">
        <f t="shared" si="2"/>
        <v>3</v>
      </c>
      <c r="E25" s="30" t="s">
        <v>146</v>
      </c>
      <c r="F25" s="6"/>
      <c r="G25" s="266"/>
    </row>
    <row r="26" spans="2:7" ht="15" customHeight="1">
      <c r="B26" s="52" t="s">
        <v>259</v>
      </c>
      <c r="D26" s="96">
        <f t="shared" si="2"/>
        <v>3</v>
      </c>
      <c r="E26" s="30" t="s">
        <v>146</v>
      </c>
      <c r="F26" s="6"/>
      <c r="G26" s="266"/>
    </row>
    <row r="27" spans="2:7" ht="15" customHeight="1">
      <c r="B27" s="52" t="s">
        <v>260</v>
      </c>
      <c r="D27" s="96">
        <f t="shared" si="2"/>
        <v>3</v>
      </c>
      <c r="E27" s="30" t="s">
        <v>146</v>
      </c>
      <c r="F27" s="6"/>
      <c r="G27" s="266"/>
    </row>
    <row r="28" spans="2:7" ht="15" customHeight="1">
      <c r="B28" s="52" t="s">
        <v>164</v>
      </c>
      <c r="D28" s="96">
        <f t="shared" si="2"/>
        <v>1</v>
      </c>
      <c r="E28" s="30" t="s">
        <v>153</v>
      </c>
      <c r="F28" s="6"/>
      <c r="G28" s="266"/>
    </row>
    <row r="29" spans="2:7" ht="15" customHeight="1">
      <c r="B29" s="95" t="s">
        <v>165</v>
      </c>
      <c r="D29" s="37"/>
      <c r="E29" s="23"/>
      <c r="G29" s="266"/>
    </row>
    <row r="30" spans="2:7" ht="15" customHeight="1">
      <c r="B30" s="1" t="s">
        <v>166</v>
      </c>
      <c r="D30" s="99">
        <f>SUM(D31:D35)/(5*4)</f>
        <v>0.55000000000000004</v>
      </c>
      <c r="E30" s="48" t="str">
        <f>IF(D30&gt;80%,"Very High",IF(D30&lt;=20%,"Very Low",IF(D30&lt;=40%,"Low",IF(D30&lt;=60%,"Medium","High"))))</f>
        <v>Medium</v>
      </c>
      <c r="F30" s="6"/>
      <c r="G30" s="266"/>
    </row>
    <row r="31" spans="2:7" ht="15" customHeight="1">
      <c r="B31" s="52" t="s">
        <v>167</v>
      </c>
      <c r="D31" s="96">
        <f t="shared" ref="D31:D35" si="3">IF(E31="Strongly disagree",0,IF(E31="disagree",1,IF(E31="unclear",2,IF(E31="agree",3,4))))</f>
        <v>4</v>
      </c>
      <c r="E31" s="30" t="s">
        <v>155</v>
      </c>
      <c r="F31" s="6"/>
      <c r="G31" s="266"/>
    </row>
    <row r="32" spans="2:7" ht="15" customHeight="1">
      <c r="B32" s="52" t="s">
        <v>261</v>
      </c>
      <c r="D32" s="96">
        <f t="shared" si="3"/>
        <v>0</v>
      </c>
      <c r="E32" s="30" t="s">
        <v>168</v>
      </c>
      <c r="F32" s="6"/>
      <c r="G32" s="266"/>
    </row>
    <row r="33" spans="2:7" ht="15" customHeight="1">
      <c r="B33" s="52" t="s">
        <v>262</v>
      </c>
      <c r="D33" s="96">
        <f t="shared" si="3"/>
        <v>0</v>
      </c>
      <c r="E33" s="30" t="s">
        <v>168</v>
      </c>
      <c r="F33" s="6"/>
      <c r="G33" s="266"/>
    </row>
    <row r="34" spans="2:7" ht="15" customHeight="1">
      <c r="B34" s="52" t="s">
        <v>263</v>
      </c>
      <c r="D34" s="96">
        <f t="shared" si="3"/>
        <v>3</v>
      </c>
      <c r="E34" s="30" t="s">
        <v>146</v>
      </c>
      <c r="F34" s="6"/>
      <c r="G34" s="266"/>
    </row>
    <row r="35" spans="2:7" ht="15" customHeight="1">
      <c r="B35" s="52" t="s">
        <v>279</v>
      </c>
      <c r="D35" s="96">
        <f t="shared" si="3"/>
        <v>4</v>
      </c>
      <c r="E35" s="30" t="s">
        <v>155</v>
      </c>
      <c r="G35" s="266"/>
    </row>
    <row r="36" spans="2:7" ht="15" customHeight="1">
      <c r="B36" s="1" t="s">
        <v>169</v>
      </c>
      <c r="D36" s="99">
        <f>SUM(D37:D41)/(5*4)</f>
        <v>0</v>
      </c>
      <c r="E36" s="48" t="str">
        <f>IF(D36&gt;80%,"Very High",IF(D36&lt;=20%,"Very Low",IF(D36&lt;=40%,"Low",IF(D36&lt;=60%,"Medium","High"))))</f>
        <v>Very Low</v>
      </c>
      <c r="F36" s="6"/>
      <c r="G36" s="266"/>
    </row>
    <row r="37" spans="2:7" ht="15" customHeight="1">
      <c r="B37" s="52" t="s">
        <v>170</v>
      </c>
      <c r="D37" s="96">
        <f t="shared" ref="D37:D41" si="4">IF(E37="Strongly disagree",0,IF(E37="disagree",1,IF(E37="unclear",2,IF(E37="agree",3,4))))</f>
        <v>0</v>
      </c>
      <c r="E37" s="30" t="s">
        <v>168</v>
      </c>
      <c r="F37" s="6"/>
      <c r="G37" s="266"/>
    </row>
    <row r="38" spans="2:7" ht="15" customHeight="1">
      <c r="B38" s="52" t="s">
        <v>264</v>
      </c>
      <c r="D38" s="96">
        <f t="shared" si="4"/>
        <v>0</v>
      </c>
      <c r="E38" s="30" t="s">
        <v>168</v>
      </c>
      <c r="F38" s="6"/>
      <c r="G38" s="266"/>
    </row>
    <row r="39" spans="2:7" ht="15" customHeight="1">
      <c r="B39" s="52" t="s">
        <v>265</v>
      </c>
      <c r="D39" s="96">
        <f t="shared" si="4"/>
        <v>0</v>
      </c>
      <c r="E39" s="30" t="s">
        <v>168</v>
      </c>
      <c r="F39" s="6"/>
      <c r="G39" s="266"/>
    </row>
    <row r="40" spans="2:7" ht="15" customHeight="1">
      <c r="B40" s="52" t="s">
        <v>266</v>
      </c>
      <c r="D40" s="96">
        <f t="shared" si="4"/>
        <v>0</v>
      </c>
      <c r="E40" s="30" t="s">
        <v>168</v>
      </c>
      <c r="F40" s="6"/>
      <c r="G40" s="266"/>
    </row>
    <row r="41" spans="2:7" ht="15" customHeight="1">
      <c r="B41" s="52" t="s">
        <v>267</v>
      </c>
      <c r="D41" s="96">
        <f t="shared" si="4"/>
        <v>0</v>
      </c>
      <c r="E41" s="30" t="s">
        <v>168</v>
      </c>
      <c r="G41" s="266"/>
    </row>
    <row r="42" spans="2:7" ht="15" customHeight="1">
      <c r="B42" s="1" t="s">
        <v>171</v>
      </c>
      <c r="D42" s="99">
        <f>SUM(D43:D48)/(6*4)</f>
        <v>0.70833333333333337</v>
      </c>
      <c r="E42" s="48" t="str">
        <f>IF(D42&gt;80%,"Very High",IF(D42&lt;=20%,"Very Low",IF(D42&lt;=40%,"Low",IF(D42&lt;=60%,"Medium","High"))))</f>
        <v>High</v>
      </c>
      <c r="F42" s="6"/>
      <c r="G42" s="266"/>
    </row>
    <row r="43" spans="2:7" ht="15" customHeight="1">
      <c r="B43" s="52" t="s">
        <v>172</v>
      </c>
      <c r="D43" s="96">
        <f t="shared" ref="D43:D48" si="5">IF(E43="Strongly disagree",0,IF(E43="disagree",1,IF(E43="unclear",2,IF(E43="agree",3,4))))</f>
        <v>2</v>
      </c>
      <c r="E43" s="30" t="s">
        <v>145</v>
      </c>
      <c r="F43" s="6"/>
      <c r="G43" s="266"/>
    </row>
    <row r="44" spans="2:7" ht="15" customHeight="1">
      <c r="B44" s="52" t="s">
        <v>173</v>
      </c>
      <c r="D44" s="96">
        <f t="shared" si="5"/>
        <v>4</v>
      </c>
      <c r="E44" s="30" t="s">
        <v>155</v>
      </c>
      <c r="F44" s="6"/>
      <c r="G44" s="266"/>
    </row>
    <row r="45" spans="2:7" ht="15" customHeight="1">
      <c r="B45" s="52" t="s">
        <v>174</v>
      </c>
      <c r="D45" s="96">
        <f t="shared" si="5"/>
        <v>4</v>
      </c>
      <c r="E45" s="30" t="s">
        <v>155</v>
      </c>
      <c r="F45" s="6"/>
      <c r="G45" s="266"/>
    </row>
    <row r="46" spans="2:7" ht="15" customHeight="1">
      <c r="B46" s="52" t="s">
        <v>175</v>
      </c>
      <c r="D46" s="96">
        <f t="shared" si="5"/>
        <v>0</v>
      </c>
      <c r="E46" s="30" t="s">
        <v>168</v>
      </c>
      <c r="F46" s="6"/>
      <c r="G46" s="266"/>
    </row>
    <row r="47" spans="2:7" ht="15" customHeight="1">
      <c r="B47" s="52" t="s">
        <v>176</v>
      </c>
      <c r="D47" s="96">
        <f t="shared" si="5"/>
        <v>3</v>
      </c>
      <c r="E47" s="30" t="s">
        <v>146</v>
      </c>
      <c r="F47" s="6"/>
      <c r="G47" s="266"/>
    </row>
    <row r="48" spans="2:7" ht="15" customHeight="1">
      <c r="B48" s="52" t="s">
        <v>202</v>
      </c>
      <c r="D48" s="96">
        <f t="shared" si="5"/>
        <v>4</v>
      </c>
      <c r="E48" s="30" t="s">
        <v>155</v>
      </c>
      <c r="F48" s="6"/>
      <c r="G48" s="266"/>
    </row>
    <row r="49" spans="2:8" ht="15" customHeight="1">
      <c r="B49" s="1" t="s">
        <v>177</v>
      </c>
      <c r="D49" s="99">
        <f>SUM(D50:D54)/(5*4)</f>
        <v>0.36564625850340138</v>
      </c>
      <c r="E49" s="48" t="str">
        <f>IF(D49&gt;80%,"Very High",IF(D49&lt;=20%,"Very Low",IF(D49&lt;=40%,"Low",IF(D49&lt;=60%,"Medium","High"))))</f>
        <v>Low</v>
      </c>
      <c r="F49" s="6"/>
      <c r="G49" s="266"/>
    </row>
    <row r="50" spans="2:8" ht="15" customHeight="1">
      <c r="B50" s="52" t="s">
        <v>178</v>
      </c>
      <c r="D50" s="96">
        <f t="shared" ref="D50:D52" si="6">IF(E50="Strongly disagree",0,IF(E50="disagree",1,IF(E50="unclear",2,IF(E50="agree",3,4))))</f>
        <v>0</v>
      </c>
      <c r="E50" s="30" t="s">
        <v>168</v>
      </c>
      <c r="G50" s="266"/>
    </row>
    <row r="51" spans="2:8" ht="15" customHeight="1">
      <c r="B51" s="52" t="s">
        <v>179</v>
      </c>
      <c r="D51" s="96">
        <f t="shared" si="6"/>
        <v>0</v>
      </c>
      <c r="E51" s="30" t="s">
        <v>168</v>
      </c>
      <c r="F51" s="6"/>
      <c r="G51" s="266"/>
    </row>
    <row r="52" spans="2:8" ht="15" customHeight="1">
      <c r="B52" s="52" t="s">
        <v>268</v>
      </c>
      <c r="D52" s="96">
        <f t="shared" si="6"/>
        <v>1</v>
      </c>
      <c r="E52" s="30" t="s">
        <v>153</v>
      </c>
      <c r="G52" s="266"/>
    </row>
    <row r="53" spans="2:8" ht="15" customHeight="1">
      <c r="B53" s="52" t="s">
        <v>269</v>
      </c>
      <c r="D53" s="96">
        <f>IF(E53="Strongly disagree",0,IF(E53="disagree",1,IF(E53="unclear",2,IF(E53="agree",3,4))))</f>
        <v>4</v>
      </c>
      <c r="E53" s="30" t="s">
        <v>155</v>
      </c>
      <c r="F53" s="52"/>
      <c r="G53" s="266"/>
      <c r="H53" s="52"/>
    </row>
    <row r="54" spans="2:8" ht="15" customHeight="1">
      <c r="B54" s="52" t="s">
        <v>270</v>
      </c>
      <c r="D54" s="100">
        <f t="array" ref="D54">(1-INDEX(B68:E77,MATCH(E54,B68:B77,0),4))*4</f>
        <v>2.3129251700680271</v>
      </c>
      <c r="E54" s="30" t="s">
        <v>346</v>
      </c>
      <c r="F54" s="52"/>
      <c r="G54" s="266"/>
      <c r="H54" s="52"/>
    </row>
    <row r="55" spans="2:8" ht="15" customHeight="1">
      <c r="B55" s="1" t="s">
        <v>180</v>
      </c>
      <c r="D55" s="101">
        <f>SUM(D56:D61)/(6*4)</f>
        <v>0.91666666666666663</v>
      </c>
      <c r="E55" s="48" t="str">
        <f>IF(D55&gt;80%,"Very High",IF(D55&lt;=20%,"Very Low",IF(D55&lt;=40%,"Low",IF(D55&lt;=60%,"Medium","High"))))</f>
        <v>Very High</v>
      </c>
      <c r="F55" s="52"/>
      <c r="G55" s="266"/>
      <c r="H55" s="52"/>
    </row>
    <row r="56" spans="2:8" ht="15" customHeight="1">
      <c r="B56" s="52" t="s">
        <v>181</v>
      </c>
      <c r="D56" s="96">
        <f t="shared" ref="D56:D60" si="7">IF(E56="Strongly disagree",0,IF(E56="disagree",1,IF(E56="unclear",2,IF(E56="agree",3,4))))</f>
        <v>4</v>
      </c>
      <c r="E56" s="30" t="s">
        <v>155</v>
      </c>
      <c r="F56" s="52"/>
      <c r="G56" s="266"/>
      <c r="H56" s="52"/>
    </row>
    <row r="57" spans="2:8" ht="15" customHeight="1">
      <c r="B57" s="52" t="s">
        <v>182</v>
      </c>
      <c r="D57" s="96">
        <f t="shared" si="7"/>
        <v>4</v>
      </c>
      <c r="E57" s="30" t="s">
        <v>155</v>
      </c>
      <c r="F57" s="52"/>
      <c r="G57" s="266"/>
      <c r="H57" s="52"/>
    </row>
    <row r="58" spans="2:8" ht="15" customHeight="1">
      <c r="B58" s="52" t="s">
        <v>203</v>
      </c>
      <c r="D58" s="96">
        <f t="shared" si="7"/>
        <v>4</v>
      </c>
      <c r="E58" s="30" t="s">
        <v>155</v>
      </c>
      <c r="F58" s="52"/>
      <c r="G58" s="266"/>
      <c r="H58" s="52"/>
    </row>
    <row r="59" spans="2:8" ht="15" customHeight="1">
      <c r="B59" s="52" t="s">
        <v>204</v>
      </c>
      <c r="D59" s="96">
        <f t="shared" si="7"/>
        <v>4</v>
      </c>
      <c r="E59" s="30" t="s">
        <v>155</v>
      </c>
      <c r="F59" s="52"/>
      <c r="G59" s="266"/>
      <c r="H59" s="52"/>
    </row>
    <row r="60" spans="2:8" ht="15" customHeight="1">
      <c r="B60" s="52" t="s">
        <v>205</v>
      </c>
      <c r="D60" s="96">
        <f t="shared" si="7"/>
        <v>4</v>
      </c>
      <c r="E60" s="30" t="s">
        <v>155</v>
      </c>
      <c r="F60" s="52"/>
      <c r="G60" s="266"/>
      <c r="H60" s="52"/>
    </row>
    <row r="61" spans="2:8" ht="15" customHeight="1">
      <c r="B61" s="52" t="s">
        <v>206</v>
      </c>
      <c r="D61" s="96">
        <f>IF(E61="Strongly disagree",0,IF(E61="disagree",1,IF(E61="non-perishable",2,IF(E61="agree",3,4))))</f>
        <v>2</v>
      </c>
      <c r="E61" s="30" t="s">
        <v>347</v>
      </c>
      <c r="F61" s="52"/>
      <c r="G61" s="266"/>
      <c r="H61" s="52"/>
    </row>
    <row r="62" spans="2:8" ht="15" customHeight="1">
      <c r="B62" s="139" t="s">
        <v>183</v>
      </c>
      <c r="D62" s="120">
        <f>1-AVERAGE(D30,D36,D42,D49,D55)</f>
        <v>0.49187074829931976</v>
      </c>
      <c r="E62" s="48" t="str">
        <f>IF(D62&gt;80%,"Very Low",IF(D62&lt;=20%,"Very High",IF(D62&lt;=40%,"High",IF(D62&lt;=60%,"Medium","Low"))))</f>
        <v>Medium</v>
      </c>
      <c r="F62" s="52"/>
      <c r="G62" s="266"/>
      <c r="H62" s="52"/>
    </row>
    <row r="63" spans="2:8" ht="15" customHeight="1">
      <c r="D63" s="6"/>
      <c r="G63" s="266"/>
    </row>
    <row r="64" spans="2:8" ht="15" customHeight="1">
      <c r="B64" s="93" t="s">
        <v>184</v>
      </c>
      <c r="D64" s="90">
        <f>E64*4</f>
        <v>1.84187074829932</v>
      </c>
      <c r="E64" s="119">
        <f>AVERAGE(AVERAGE(D12:D16)/4,AVERAGE(D18:D22)/4,AVERAGE(D24:D28)/4,D62)</f>
        <v>0.46046768707482999</v>
      </c>
      <c r="G64" s="266"/>
    </row>
    <row r="65" spans="2:7" ht="15" customHeight="1">
      <c r="G65" s="267"/>
    </row>
    <row r="66" spans="2:7" ht="15" customHeight="1">
      <c r="B66" s="53" t="s">
        <v>185</v>
      </c>
      <c r="C66" s="7"/>
      <c r="D66" s="7"/>
      <c r="E66" s="54"/>
    </row>
    <row r="67" spans="2:7" ht="15" customHeight="1">
      <c r="B67" s="102" t="s">
        <v>186</v>
      </c>
      <c r="C67" s="103"/>
      <c r="D67" s="103"/>
      <c r="E67" s="104"/>
    </row>
    <row r="68" spans="2:7" ht="15" customHeight="1">
      <c r="B68" s="105" t="s">
        <v>187</v>
      </c>
      <c r="C68" s="103"/>
      <c r="D68" s="103">
        <v>1</v>
      </c>
      <c r="E68" s="106">
        <f t="shared" ref="E68:E76" si="8">D68/MAX($D$68:$D$77)</f>
        <v>3.4013605442176874E-2</v>
      </c>
    </row>
    <row r="69" spans="2:7" ht="15" customHeight="1">
      <c r="B69" s="105" t="str">
        <f t="shared" ref="B69:B77" si="9">C69&amp;", "&amp;D69&amp;"y"</f>
        <v>Information Technology Like, 6.6y</v>
      </c>
      <c r="C69" s="103" t="s">
        <v>188</v>
      </c>
      <c r="D69" s="103">
        <v>6.6</v>
      </c>
      <c r="E69" s="106">
        <f t="shared" si="8"/>
        <v>0.22448979591836735</v>
      </c>
    </row>
    <row r="70" spans="2:7" ht="15" customHeight="1">
      <c r="B70" s="105" t="str">
        <f t="shared" si="9"/>
        <v>Healthcare, 11.4y</v>
      </c>
      <c r="C70" s="103" t="s">
        <v>189</v>
      </c>
      <c r="D70" s="103">
        <v>11.4</v>
      </c>
      <c r="E70" s="106">
        <f t="shared" si="8"/>
        <v>0.38775510204081637</v>
      </c>
    </row>
    <row r="71" spans="2:7" ht="15" customHeight="1">
      <c r="B71" s="105" t="str">
        <f t="shared" si="9"/>
        <v>Consumer Discretionary, 12.4y</v>
      </c>
      <c r="C71" s="103" t="s">
        <v>190</v>
      </c>
      <c r="D71" s="103">
        <v>12.4</v>
      </c>
      <c r="E71" s="106">
        <f t="shared" si="8"/>
        <v>0.42176870748299322</v>
      </c>
    </row>
    <row r="72" spans="2:7" ht="15" customHeight="1">
      <c r="B72" s="105" t="str">
        <f t="shared" si="9"/>
        <v>Consumer Staples, 15.1y</v>
      </c>
      <c r="C72" s="103" t="s">
        <v>191</v>
      </c>
      <c r="D72" s="103">
        <v>15.1</v>
      </c>
      <c r="E72" s="106">
        <f t="shared" si="8"/>
        <v>0.51360544217687076</v>
      </c>
    </row>
    <row r="73" spans="2:7" ht="15" customHeight="1">
      <c r="B73" s="105" t="str">
        <f t="shared" si="9"/>
        <v>Industrials, 15.4y</v>
      </c>
      <c r="C73" s="103" t="s">
        <v>192</v>
      </c>
      <c r="D73" s="103">
        <v>15.4</v>
      </c>
      <c r="E73" s="106">
        <f t="shared" si="8"/>
        <v>0.52380952380952384</v>
      </c>
    </row>
    <row r="74" spans="2:7" ht="15" customHeight="1">
      <c r="B74" s="105" t="str">
        <f t="shared" si="9"/>
        <v>Telecommunication Services, 16.1y</v>
      </c>
      <c r="C74" s="103" t="s">
        <v>193</v>
      </c>
      <c r="D74" s="103">
        <v>16.100000000000001</v>
      </c>
      <c r="E74" s="106">
        <f t="shared" si="8"/>
        <v>0.54761904761904767</v>
      </c>
    </row>
    <row r="75" spans="2:7" ht="15" customHeight="1">
      <c r="B75" s="105" t="str">
        <f t="shared" si="9"/>
        <v>Energy, 17.6y</v>
      </c>
      <c r="C75" s="103" t="s">
        <v>194</v>
      </c>
      <c r="D75" s="103">
        <v>17.600000000000001</v>
      </c>
      <c r="E75" s="106">
        <f t="shared" si="8"/>
        <v>0.59863945578231303</v>
      </c>
    </row>
    <row r="76" spans="2:7" ht="15" customHeight="1">
      <c r="B76" s="105" t="str">
        <f t="shared" si="9"/>
        <v>Materials, 18.6y</v>
      </c>
      <c r="C76" s="103" t="s">
        <v>195</v>
      </c>
      <c r="D76" s="103">
        <v>18.600000000000001</v>
      </c>
      <c r="E76" s="106">
        <f t="shared" si="8"/>
        <v>0.63265306122448983</v>
      </c>
    </row>
    <row r="77" spans="2:7" ht="15" customHeight="1">
      <c r="B77" s="107" t="str">
        <f t="shared" si="9"/>
        <v>Utilities, 29.4y</v>
      </c>
      <c r="C77" s="108" t="s">
        <v>196</v>
      </c>
      <c r="D77" s="108">
        <v>29.4</v>
      </c>
      <c r="E77" s="109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Val Models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2023-08-01T10:05:40Z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