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08F76116-9975-4DFA-8C2C-8A9C5ECF57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6" i="4" l="1"/>
  <c r="C7" i="4" s="1"/>
  <c r="C30" i="4"/>
  <c r="C10" i="7"/>
  <c r="C14" i="7"/>
  <c r="E7" i="7"/>
  <c r="E6" i="7"/>
  <c r="E5" i="7"/>
  <c r="E4" i="7"/>
  <c r="C35" i="1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8" i="7"/>
  <c r="G19" i="3"/>
  <c r="G20" i="3"/>
  <c r="G31" i="3"/>
  <c r="G33" i="3"/>
  <c r="G34" i="3"/>
  <c r="G35" i="3"/>
  <c r="D53" i="3"/>
  <c r="I53" i="3" s="1"/>
  <c r="I17" i="7"/>
  <c r="I20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6" i="7"/>
  <c r="I3" i="7" s="1"/>
  <c r="F3" i="4" s="1"/>
  <c r="B18" i="1"/>
  <c r="B15" i="1"/>
  <c r="G21" i="4"/>
  <c r="F21" i="4"/>
  <c r="C12" i="1"/>
  <c r="F40" i="1"/>
  <c r="D33" i="2"/>
  <c r="D34" i="2" s="1"/>
  <c r="E6" i="1"/>
  <c r="C3" i="7" s="1"/>
  <c r="E26" i="1"/>
  <c r="E7" i="3"/>
  <c r="C23" i="4"/>
  <c r="G34" i="2"/>
  <c r="G35" i="2" s="1"/>
  <c r="H34" i="2"/>
  <c r="I34" i="2"/>
  <c r="J34" i="2"/>
  <c r="K34" i="2"/>
  <c r="K35" i="2" s="1"/>
  <c r="L34" i="2"/>
  <c r="L35" i="2" s="1"/>
  <c r="M34" i="2"/>
  <c r="M35" i="2" s="1"/>
  <c r="F34" i="2"/>
  <c r="F35" i="2" s="1"/>
  <c r="H52" i="2"/>
  <c r="D52" i="2"/>
  <c r="E52" i="2"/>
  <c r="F52" i="2"/>
  <c r="G52" i="2"/>
  <c r="I52" i="2"/>
  <c r="J52" i="2"/>
  <c r="K52" i="2"/>
  <c r="L52" i="2"/>
  <c r="M52" i="2"/>
  <c r="C52" i="2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E27" i="2"/>
  <c r="E43" i="2" s="1"/>
  <c r="F27" i="2"/>
  <c r="F43" i="2" s="1"/>
  <c r="I15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3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G10" i="7"/>
  <c r="G12" i="7" s="1"/>
  <c r="G17" i="7" s="1"/>
  <c r="C25" i="3"/>
  <c r="I7" i="3" s="1"/>
  <c r="I19" i="7"/>
  <c r="C14" i="2"/>
  <c r="C16" i="2" s="1"/>
  <c r="D43" i="2"/>
  <c r="G27" i="2"/>
  <c r="H27" i="2"/>
  <c r="I27" i="2"/>
  <c r="J27" i="2"/>
  <c r="K27" i="2"/>
  <c r="L27" i="2"/>
  <c r="M27" i="2"/>
  <c r="C42" i="2"/>
  <c r="J12" i="1"/>
  <c r="E5" i="1"/>
  <c r="E4" i="2"/>
  <c r="H35" i="2"/>
  <c r="I35" i="2"/>
  <c r="J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1" i="1"/>
  <c r="G27" i="1" s="1"/>
  <c r="E31" i="1"/>
  <c r="E27" i="1" s="1"/>
  <c r="C31" i="1"/>
  <c r="C27" i="1" s="1"/>
  <c r="G30" i="1"/>
  <c r="E30" i="1"/>
  <c r="C30" i="1"/>
  <c r="I28" i="1"/>
  <c r="I6" i="1"/>
  <c r="C2" i="1"/>
  <c r="D63" i="3"/>
  <c r="E33" i="2"/>
  <c r="E34" i="2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K15" i="2"/>
  <c r="L16" i="2"/>
  <c r="L45" i="2" s="1"/>
  <c r="L15" i="2"/>
  <c r="M16" i="2"/>
  <c r="M45" i="2" s="1"/>
  <c r="F15" i="2"/>
  <c r="G15" i="2"/>
  <c r="J15" i="2"/>
  <c r="C46" i="2"/>
  <c r="G13" i="2"/>
  <c r="G12" i="2"/>
  <c r="J13" i="2"/>
  <c r="D14" i="2"/>
  <c r="D16" i="2" s="1"/>
  <c r="H13" i="2"/>
  <c r="H12" i="2"/>
  <c r="L13" i="2"/>
  <c r="L12" i="2"/>
  <c r="F10" i="2"/>
  <c r="J10" i="2"/>
  <c r="J12" i="2"/>
  <c r="E14" i="2"/>
  <c r="E13" i="2" s="1"/>
  <c r="I14" i="2"/>
  <c r="K13" i="2"/>
  <c r="K12" i="2"/>
  <c r="C33" i="2"/>
  <c r="C34" i="2" s="1"/>
  <c r="C22" i="4"/>
  <c r="I16" i="2"/>
  <c r="I45" i="2"/>
  <c r="I44" i="2"/>
  <c r="H15" i="2"/>
  <c r="I15" i="2"/>
  <c r="H17" i="2"/>
  <c r="K17" i="2"/>
  <c r="J17" i="2"/>
  <c r="G17" i="2"/>
  <c r="I13" i="2"/>
  <c r="I12" i="2"/>
  <c r="L17" i="2"/>
  <c r="I17" i="2"/>
  <c r="D36" i="5" l="1"/>
  <c r="E36" i="5" s="1"/>
  <c r="D6" i="5"/>
  <c r="E6" i="5" s="1"/>
  <c r="D5" i="7"/>
  <c r="D6" i="7"/>
  <c r="D4" i="7"/>
  <c r="D7" i="7"/>
  <c r="D55" i="5"/>
  <c r="E55" i="5" s="1"/>
  <c r="D49" i="5"/>
  <c r="E49" i="5" s="1"/>
  <c r="D42" i="5"/>
  <c r="E42" i="5" s="1"/>
  <c r="D30" i="5"/>
  <c r="D5" i="5"/>
  <c r="E5" i="5" s="1"/>
  <c r="D31" i="4"/>
  <c r="D32" i="4"/>
  <c r="D10" i="4"/>
  <c r="G10" i="4"/>
  <c r="G15" i="7"/>
  <c r="I18" i="7"/>
  <c r="C12" i="7"/>
  <c r="C17" i="7" s="1"/>
  <c r="C15" i="7" s="1"/>
  <c r="D52" i="3"/>
  <c r="C17" i="4" s="1"/>
  <c r="D17" i="4" s="1"/>
  <c r="C46" i="3"/>
  <c r="E26" i="3"/>
  <c r="D26" i="3" s="1"/>
  <c r="E59" i="3"/>
  <c r="C15" i="4" s="1"/>
  <c r="D15" i="4" s="1"/>
  <c r="F44" i="2"/>
  <c r="E12" i="2"/>
  <c r="C13" i="2"/>
  <c r="C12" i="2" s="1"/>
  <c r="E30" i="5"/>
  <c r="C11" i="7"/>
  <c r="E11" i="7" s="1"/>
  <c r="E10" i="7" s="1"/>
  <c r="E8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2" i="1"/>
  <c r="I31" i="1"/>
  <c r="I32" i="1" s="1"/>
  <c r="I33" i="1" s="1"/>
  <c r="E50" i="3"/>
  <c r="I27" i="1"/>
  <c r="E3" i="3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F30" i="4"/>
  <c r="C20" i="4"/>
  <c r="B3" i="7"/>
  <c r="C11" i="1"/>
  <c r="F4" i="7" l="1"/>
  <c r="F6" i="7"/>
  <c r="F5" i="7"/>
  <c r="F7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3" i="1"/>
  <c r="C36" i="1"/>
  <c r="D3" i="4"/>
  <c r="G3" i="7"/>
  <c r="E3" i="4" s="1"/>
  <c r="G4" i="4" s="1"/>
  <c r="B21" i="4" s="1"/>
  <c r="G2" i="4" s="1"/>
  <c r="E9" i="7"/>
  <c r="E12" i="7"/>
  <c r="E17" i="7" s="1"/>
  <c r="G16" i="7" s="1"/>
  <c r="C20" i="7"/>
  <c r="C4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5" i="7"/>
  <c r="E18" i="7"/>
  <c r="E16" i="7"/>
  <c r="C19" i="7"/>
  <c r="C8" i="4"/>
  <c r="C9" i="4" s="1"/>
  <c r="J10" i="1"/>
  <c r="I25" i="3"/>
  <c r="J25" i="3" s="1"/>
  <c r="D25" i="3"/>
  <c r="D45" i="3"/>
  <c r="E20" i="7" l="1"/>
  <c r="E19" i="7" s="1"/>
  <c r="G18" i="7"/>
  <c r="G20" i="7" s="1"/>
  <c r="J26" i="3"/>
  <c r="D18" i="5" s="1"/>
  <c r="E64" i="5" s="1"/>
  <c r="D4" i="4" l="1"/>
  <c r="D6" i="3" s="1"/>
  <c r="D7" i="3" s="1"/>
  <c r="D11" i="4"/>
  <c r="D8" i="4"/>
  <c r="D9" i="4" s="1"/>
  <c r="F18" i="4"/>
  <c r="E4" i="4"/>
  <c r="G19" i="7"/>
  <c r="D5" i="4"/>
  <c r="G16" i="4"/>
  <c r="E30" i="4" s="1"/>
  <c r="E18" i="5"/>
  <c r="D64" i="5"/>
  <c r="E7" i="5" s="1"/>
  <c r="D7" i="5" s="1"/>
  <c r="D8" i="5" s="1"/>
  <c r="E8" i="5" s="1"/>
  <c r="F41" i="1"/>
  <c r="E8" i="4" l="1"/>
  <c r="G9" i="4" s="1"/>
  <c r="D12" i="4"/>
  <c r="E6" i="3"/>
  <c r="E17" i="4"/>
  <c r="F16" i="1"/>
  <c r="H16" i="1" s="1"/>
  <c r="E5" i="4"/>
  <c r="E10" i="4"/>
  <c r="F39" i="1"/>
  <c r="E11" i="4" l="1"/>
  <c r="G11" i="4" s="1"/>
  <c r="H18" i="1"/>
  <c r="E9" i="4"/>
  <c r="E12" i="4" l="1"/>
  <c r="E22" i="4"/>
  <c r="F22" i="4" s="1"/>
  <c r="E23" i="4"/>
  <c r="F23" i="4" s="1"/>
  <c r="G23" i="4" s="1"/>
  <c r="G22" i="4" l="1"/>
  <c r="G24" i="4" l="1"/>
  <c r="C27" i="4" l="1"/>
  <c r="C31" i="4" s="1"/>
  <c r="I35" i="1" s="1"/>
  <c r="B17" i="1" l="1"/>
  <c r="D17" i="1" s="1"/>
  <c r="D18" i="1"/>
  <c r="D16" i="1"/>
  <c r="C32" i="4"/>
  <c r="E45" i="1"/>
  <c r="F45" i="1"/>
  <c r="E14" i="1"/>
  <c r="E27" i="4"/>
  <c r="F27" i="4"/>
  <c r="F31" i="4"/>
  <c r="E31" i="4"/>
  <c r="E46" i="1" l="1"/>
  <c r="E49" i="1" s="1"/>
  <c r="F46" i="1"/>
  <c r="F49" i="1" s="1"/>
  <c r="F48" i="1"/>
  <c r="F50" i="1"/>
  <c r="E48" i="1"/>
  <c r="E50" i="1"/>
  <c r="F32" i="4"/>
  <c r="E32" i="4"/>
  <c r="I36" i="1"/>
  <c r="H17" i="1"/>
  <c r="J17" i="1"/>
  <c r="F51" i="1" l="1"/>
  <c r="E51" i="1"/>
</calcChain>
</file>

<file path=xl/sharedStrings.xml><?xml version="1.0" encoding="utf-8"?>
<sst xmlns="http://schemas.openxmlformats.org/spreadsheetml/2006/main" count="411" uniqueCount="342">
  <si>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</si>
  <si>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</si>
  <si>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</si>
  <si>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</si>
  <si>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</si>
  <si>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</si>
  <si>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</si>
  <si>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</si>
  <si>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</si>
  <si>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</si>
  <si>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</si>
  <si>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</si>
  <si>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</si>
  <si>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</si>
  <si>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</si>
  <si>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</si>
  <si>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</si>
  <si>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</si>
  <si>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</si>
  <si>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</si>
  <si>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</si>
  <si>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</si>
  <si>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</si>
  <si>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</si>
  <si>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</si>
  <si>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</si>
  <si>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</si>
  <si>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</si>
  <si>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</si>
  <si>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</si>
  <si>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</si>
  <si>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</si>
  <si>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</si>
  <si>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</si>
  <si>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</si>
  <si>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</si>
  <si>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</si>
  <si>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</si>
  <si>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</si>
  <si>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</si>
  <si>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</si>
  <si>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</si>
  <si>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</si>
  <si>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</si>
  <si>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</si>
  <si>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</si>
  <si>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</si>
  <si>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</si>
  <si>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</si>
  <si>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</si>
  <si>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</si>
  <si>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</si>
  <si>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</si>
  <si>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</si>
  <si>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</si>
  <si>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</si>
  <si>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</si>
  <si>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</si>
  <si>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</si>
  <si>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</si>
  <si>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</si>
  <si>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</si>
  <si>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</si>
  <si>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</si>
  <si>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</si>
  <si>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</si>
  <si>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</si>
  <si>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</si>
  <si>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</si>
  <si>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</si>
  <si>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</si>
  <si>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</si>
  <si>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</si>
  <si>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</si>
  <si>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</si>
  <si>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</si>
  <si>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</si>
  <si>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</si>
  <si>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</si>
  <si>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</si>
  <si>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</si>
  <si>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</si>
  <si>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</si>
  <si>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</si>
  <si>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</si>
  <si>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</si>
  <si>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</si>
  <si>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</si>
  <si>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</si>
  <si>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</si>
  <si>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</si>
  <si>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</si>
  <si>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</si>
  <si>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</si>
  <si>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</si>
  <si>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</si>
  <si>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</si>
  <si>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</si>
  <si>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</si>
  <si>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</si>
  <si>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</si>
  <si>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</si>
  <si>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</si>
  <si>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</si>
  <si>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</si>
  <si>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</si>
  <si>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</si>
  <si>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</si>
  <si>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</si>
  <si>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</si>
  <si>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</si>
  <si>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</si>
  <si>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</si>
  <si>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</si>
  <si>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</si>
  <si>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</si>
  <si>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</si>
  <si>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</si>
  <si>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</si>
  <si>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</si>
  <si>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</si>
  <si>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</si>
  <si>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</si>
  <si>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</si>
  <si>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</si>
  <si>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</si>
  <si>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</si>
  <si>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</si>
  <si>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</si>
  <si>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</si>
  <si>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</si>
  <si>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</si>
  <si>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</si>
  <si>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</si>
  <si>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</si>
  <si>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</si>
  <si>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</si>
  <si>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</si>
  <si>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</si>
  <si>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</si>
  <si>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</si>
  <si>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</si>
  <si>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</si>
  <si>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</si>
  <si>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</si>
  <si>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</si>
  <si>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</si>
  <si>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</si>
  <si>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</si>
  <si>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</si>
  <si>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</si>
  <si>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</si>
  <si>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</si>
  <si>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</si>
  <si>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</si>
  <si>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</si>
  <si>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</si>
  <si>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</si>
  <si>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</si>
  <si>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</si>
  <si>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</si>
  <si>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</si>
  <si>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</si>
  <si>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</si>
  <si>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</si>
  <si>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</si>
  <si>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</si>
  <si>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</si>
  <si>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</si>
  <si>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</si>
  <si>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</si>
  <si>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</si>
  <si>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</si>
  <si>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</si>
  <si>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</si>
  <si>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</si>
  <si>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</si>
  <si>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</si>
  <si>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</si>
  <si>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</si>
  <si>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</si>
  <si>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</si>
  <si>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</si>
  <si>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</si>
  <si>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</si>
  <si>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</si>
  <si>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</si>
  <si>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</si>
  <si>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</si>
  <si>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</si>
  <si>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</si>
  <si>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</si>
  <si>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</si>
  <si>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</si>
  <si>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</si>
  <si>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</si>
  <si>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</si>
  <si>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</si>
  <si>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</si>
  <si>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</si>
  <si>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</si>
  <si>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</si>
  <si>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</si>
  <si>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</si>
  <si>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</si>
  <si>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</si>
  <si>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</si>
  <si>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</si>
  <si>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</si>
  <si>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</si>
  <si>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</si>
  <si>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</si>
  <si>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</si>
  <si>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</si>
  <si>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</si>
  <si>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</si>
  <si>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</si>
  <si>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</si>
  <si>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</si>
  <si>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</si>
  <si>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</si>
  <si>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</si>
  <si>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</si>
  <si>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</si>
  <si>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</si>
  <si>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</si>
  <si>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</si>
  <si>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</si>
  <si>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</si>
  <si>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</si>
  <si>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</si>
  <si>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</si>
  <si>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</si>
  <si>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</si>
  <si>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</si>
  <si>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</si>
  <si>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</si>
  <si>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</si>
  <si>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</si>
  <si>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</si>
  <si>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</si>
  <si>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</si>
  <si>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</si>
  <si>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</si>
  <si>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</si>
  <si>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</si>
  <si>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</si>
  <si>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</si>
  <si>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</si>
  <si>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</si>
  <si>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</si>
  <si>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</si>
  <si>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</si>
  <si>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</si>
  <si>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</si>
  <si>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</si>
  <si>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</si>
  <si>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</si>
  <si>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</si>
  <si>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</si>
  <si>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</si>
  <si>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</si>
  <si>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</si>
  <si>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</si>
  <si>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</si>
  <si>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</si>
  <si>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</si>
  <si>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</si>
  <si>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</si>
  <si>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</si>
  <si>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</si>
  <si>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</si>
  <si>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</si>
  <si>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</si>
  <si>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</si>
  <si>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</si>
  <si>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</si>
  <si>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</si>
  <si>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</si>
  <si>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</si>
  <si>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</si>
  <si>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</si>
  <si>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</si>
  <si>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</si>
  <si>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</si>
  <si>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</si>
  <si>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</si>
  <si>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</si>
  <si>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</si>
  <si>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</si>
  <si>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</si>
  <si>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</si>
  <si>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</si>
  <si>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</si>
  <si>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</si>
  <si>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</si>
  <si>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</si>
  <si>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</si>
  <si>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</si>
  <si>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</si>
  <si>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</si>
  <si>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</si>
  <si>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</si>
  <si>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</si>
  <si>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</si>
  <si>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</si>
  <si>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</si>
  <si>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</si>
  <si>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</si>
  <si>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</si>
  <si>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a) a company with mediocre dividend and low trading volume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</si>
  <si>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</si>
  <si>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</si>
  <si>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</si>
  <si>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</si>
  <si>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</si>
  <si>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</si>
  <si>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</si>
  <si>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</si>
  <si>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</si>
  <si>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</si>
  <si>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</si>
  <si>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</si>
  <si>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a) High growth company with unproven product or product you don't trust</t>
  </si>
  <si>
    <t>6601.HK</t>
  </si>
  <si>
    <t>CHEERWIN GP</t>
  </si>
  <si>
    <t>CNY</t>
  </si>
  <si>
    <t>FY</t>
  </si>
  <si>
    <t>CN</t>
  </si>
  <si>
    <t>家居清潔产品生产商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</si>
  <si>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</si>
  <si>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</si>
  <si>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</si>
  <si>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</si>
  <si>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家居護理</t>
  </si>
  <si>
    <t>個人護理</t>
  </si>
  <si>
    <t>寵物產品</t>
  </si>
  <si>
    <t>其他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</si>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</sst>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2" borderId="19" xfId="0" applyFont="1" applyFill="1" applyBorder="1"/>
    <xf numFmtId="3" fontId="1" fillId="0" borderId="13" xfId="0" applyNumberFormat="1" applyFont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5"/>
  <sheetViews>
    <sheetView showGridLines="0" tabSelected="1" zoomScaleNormal="100" workbookViewId="0">
      <selection activeCell="D16" sqref="D16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1" t="s">
        <v>324</v>
      </c>
      <c r="D3" s="412"/>
      <c r="E3" s="15"/>
      <c r="G3" s="7" t="s">
        <v>2</v>
      </c>
      <c r="I3" s="421" t="s">
        <v>3</v>
      </c>
      <c r="J3" s="422"/>
    </row>
    <row r="4" spans="1:12" ht="15.75" customHeight="1">
      <c r="B4" s="5" t="s">
        <v>4</v>
      </c>
      <c r="C4" s="413" t="s">
        <v>325</v>
      </c>
      <c r="D4" s="414"/>
      <c r="E4" s="6"/>
      <c r="G4" s="5" t="s">
        <v>5</v>
      </c>
      <c r="I4" s="32">
        <v>1.61</v>
      </c>
      <c r="J4" s="33" t="s">
        <v>6</v>
      </c>
      <c r="K4" s="149"/>
    </row>
    <row r="5" spans="1:12" ht="15.75" customHeight="1">
      <c r="B5" s="5" t="s">
        <v>7</v>
      </c>
      <c r="C5" s="415">
        <v>44931</v>
      </c>
      <c r="D5" s="414"/>
      <c r="E5" s="120" t="str">
        <f ca="1">IF(C5+30&gt;=TODAY(),"Patience Premium","")</f>
        <v/>
      </c>
      <c r="G5" s="5" t="s">
        <v>8</v>
      </c>
      <c r="I5" s="383">
        <v>1333330048</v>
      </c>
      <c r="J5" s="384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45169</v>
      </c>
      <c r="E6" s="322">
        <f>IF(Asset_Model!E9="FY",Asset_Model!D9,Data!C3)</f>
        <v>44926</v>
      </c>
      <c r="G6" s="131" t="s">
        <v>9</v>
      </c>
      <c r="H6" s="130"/>
      <c r="I6" s="423">
        <f>I4*I5/1000000</f>
        <v>2146.6613772800001</v>
      </c>
      <c r="J6" s="424"/>
      <c r="K6" s="148"/>
    </row>
    <row r="7" spans="1:12" ht="15.75" customHeight="1">
      <c r="B7" s="136" t="s">
        <v>10</v>
      </c>
      <c r="C7" s="142">
        <f>(Data!C39*Exchange_Rate)/I4</f>
        <v>4.8931236597668001E-2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30.351537584415926</v>
      </c>
      <c r="J9" s="48">
        <f>IF(I9="NNI","NNI",1/I9)</f>
        <v>3.2947259993623933E-2</v>
      </c>
    </row>
    <row r="10" spans="1:12" ht="15.75" customHeight="1">
      <c r="B10" s="3" t="s">
        <v>255</v>
      </c>
      <c r="C10" s="279" t="s">
        <v>328</v>
      </c>
      <c r="D10" s="279">
        <v>2.8999999999999998E-2</v>
      </c>
      <c r="E10" s="5"/>
      <c r="G10" s="5" t="s">
        <v>14</v>
      </c>
      <c r="I10" s="135">
        <f>I4/(Data!C28*I12*Data!C4/Common_Shares)</f>
        <v>0.69674300664211719</v>
      </c>
      <c r="J10" s="127" t="str">
        <f>IF(Asset_Model!D60/'FCFF Model'!C4&lt;0,"Negative EV",Asset_Model!D60/'FCFF Model'!C4)</f>
        <v>Negative EV</v>
      </c>
    </row>
    <row r="11" spans="1:12" ht="15.75" customHeight="1" thickBot="1">
      <c r="B11" s="288" t="s">
        <v>256</v>
      </c>
      <c r="C11" s="381">
        <f ca="1">C12-D10</f>
        <v>5.1000000000000004E-2</v>
      </c>
      <c r="D11" s="382"/>
      <c r="E11" s="13"/>
      <c r="G11" s="5" t="s">
        <v>15</v>
      </c>
      <c r="H11" s="6"/>
      <c r="I11" s="378" t="s">
        <v>326</v>
      </c>
      <c r="J11" s="379"/>
    </row>
    <row r="12" spans="1:12" ht="15.75" customHeight="1" thickTop="1">
      <c r="B12" s="289" t="s">
        <v>143</v>
      </c>
      <c r="C12" s="429">
        <f ca="1">IF(C10="CN",8%,6%)*IF($C$5+30&gt;=TODAY(),1.2,1)</f>
        <v>0.08</v>
      </c>
      <c r="D12" s="430"/>
      <c r="G12" s="131" t="s">
        <v>16</v>
      </c>
      <c r="H12" s="130"/>
      <c r="I12" s="132">
        <v>1.0926403601964314</v>
      </c>
      <c r="J12" s="133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20" t="s">
        <v>17</v>
      </c>
      <c r="C14" s="349" t="s">
        <v>313</v>
      </c>
      <c r="D14" s="239"/>
      <c r="E14" s="190">
        <f>'FCFF Model'!C27</f>
        <v>1.6464258352315482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312</v>
      </c>
      <c r="J15" s="88" t="s">
        <v>20</v>
      </c>
    </row>
    <row r="16" spans="1:12" ht="15.75" customHeight="1">
      <c r="B16" s="128">
        <f>I4</f>
        <v>1.61</v>
      </c>
      <c r="C16" s="404">
        <v>0.1</v>
      </c>
      <c r="D16" s="156">
        <f>I35/B16-(1+C16)</f>
        <v>9.2709232822684617E-2</v>
      </c>
      <c r="E16" s="395" t="s">
        <v>23</v>
      </c>
      <c r="F16" s="425">
        <f>('FCFF Model'!G16)*Exchange_Rate</f>
        <v>1.9079569479655942</v>
      </c>
      <c r="G16" s="395" t="s">
        <v>24</v>
      </c>
      <c r="H16" s="355">
        <f>B16-$F$16</f>
        <v>-0.29795694796559413</v>
      </c>
      <c r="I16" s="390">
        <v>2.5100000000000001E-2</v>
      </c>
      <c r="J16" s="158">
        <f>I16/B16</f>
        <v>1.5590062111801242E-2</v>
      </c>
    </row>
    <row r="17" spans="1:10" ht="15.75" customHeight="1">
      <c r="B17" s="269">
        <f>I35/(1+C16)</f>
        <v>1.7456926044041114</v>
      </c>
      <c r="C17" s="405"/>
      <c r="D17" s="268">
        <f>I35/B17-(1+C16)</f>
        <v>0</v>
      </c>
      <c r="E17" s="396"/>
      <c r="F17" s="426"/>
      <c r="G17" s="396"/>
      <c r="H17" s="356">
        <f>B17-$F$16</f>
        <v>-0.16226434356148278</v>
      </c>
      <c r="I17" s="391"/>
      <c r="J17" s="159">
        <f>I16/B17</f>
        <v>1.4378247313803471E-2</v>
      </c>
    </row>
    <row r="18" spans="1:10" ht="15.75" customHeight="1">
      <c r="B18" s="323">
        <f>C35</f>
        <v>1.41</v>
      </c>
      <c r="C18" s="406"/>
      <c r="D18" s="157">
        <f>I35/B18-(1+C16)</f>
        <v>0.26188784740746285</v>
      </c>
      <c r="E18" s="397"/>
      <c r="F18" s="427"/>
      <c r="G18" s="397"/>
      <c r="H18" s="357">
        <f>B18-$F$16</f>
        <v>-0.49795694796559431</v>
      </c>
      <c r="I18" s="392"/>
      <c r="J18" s="160">
        <f>I16/B18</f>
        <v>1.7801418439716315E-2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305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418" t="s">
        <v>329</v>
      </c>
      <c r="D21" s="419"/>
      <c r="E21" s="419"/>
      <c r="F21" s="419"/>
      <c r="G21" s="419"/>
      <c r="H21" s="419"/>
      <c r="I21" s="419"/>
      <c r="J21" s="420"/>
    </row>
    <row r="22" spans="1:10" ht="52.5" customHeight="1">
      <c r="A22" s="6"/>
      <c r="B22" s="24" t="s">
        <v>27</v>
      </c>
      <c r="C22" s="380" t="s">
        <v>330</v>
      </c>
      <c r="D22" s="364"/>
      <c r="E22" s="364"/>
      <c r="F22" s="364"/>
      <c r="G22" s="380" t="s">
        <v>331</v>
      </c>
      <c r="H22" s="380"/>
      <c r="I22" s="364"/>
      <c r="J22" s="364"/>
    </row>
    <row r="23" spans="1:10" ht="52.5" customHeight="1">
      <c r="A23" s="6"/>
      <c r="B23" s="25" t="s">
        <v>28</v>
      </c>
      <c r="C23" s="393" t="s">
        <v>332</v>
      </c>
      <c r="D23" s="394"/>
      <c r="E23" s="394"/>
      <c r="F23" s="394"/>
      <c r="G23" s="393" t="s">
        <v>333</v>
      </c>
      <c r="H23" s="393"/>
      <c r="I23" s="394"/>
      <c r="J23" s="394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29</v>
      </c>
      <c r="C25" s="22" t="s">
        <v>30</v>
      </c>
      <c r="D25" s="34">
        <v>660000</v>
      </c>
      <c r="E25" s="12"/>
      <c r="F25" s="8"/>
      <c r="G25" s="12"/>
      <c r="H25" s="360" t="s">
        <v>341</v>
      </c>
      <c r="I25" s="30"/>
      <c r="J25" s="359">
        <v>0.25</v>
      </c>
    </row>
    <row r="26" spans="1:10" ht="15.75" customHeight="1">
      <c r="B26" s="23" t="s">
        <v>31</v>
      </c>
      <c r="C26" s="416">
        <v>44932</v>
      </c>
      <c r="D26" s="417"/>
      <c r="E26" s="401" t="str">
        <f>IF(C26="","","Action_Planning")</f>
        <v>Action_Planning</v>
      </c>
      <c r="F26" s="402"/>
      <c r="G26" s="402"/>
      <c r="H26" s="403"/>
      <c r="I26" s="428" t="s">
        <v>32</v>
      </c>
      <c r="J26" s="428"/>
    </row>
    <row r="27" spans="1:10" ht="15.75" customHeight="1">
      <c r="B27" s="23" t="s">
        <v>33</v>
      </c>
      <c r="C27" s="389">
        <f>C31/D25</f>
        <v>0.15509090909090908</v>
      </c>
      <c r="D27" s="375"/>
      <c r="E27" s="388">
        <f>E31/D25</f>
        <v>0.12818181818181817</v>
      </c>
      <c r="F27" s="375"/>
      <c r="G27" s="399">
        <f>G31/D25</f>
        <v>0</v>
      </c>
      <c r="H27" s="400"/>
      <c r="I27" s="398">
        <f>C27+E27+G27</f>
        <v>0.28327272727272723</v>
      </c>
      <c r="J27" s="398"/>
    </row>
    <row r="28" spans="1:10" ht="15.75" customHeight="1">
      <c r="B28" s="23" t="s">
        <v>34</v>
      </c>
      <c r="C28" s="363">
        <v>60000</v>
      </c>
      <c r="D28" s="364"/>
      <c r="E28" s="363">
        <v>60000</v>
      </c>
      <c r="F28" s="364"/>
      <c r="G28" s="383"/>
      <c r="H28" s="384"/>
      <c r="I28" s="377">
        <f>C28+E28+G28</f>
        <v>120000</v>
      </c>
      <c r="J28" s="377"/>
    </row>
    <row r="29" spans="1:10" ht="15.75" customHeight="1">
      <c r="B29" s="23" t="s">
        <v>35</v>
      </c>
      <c r="C29" s="365">
        <v>1.706</v>
      </c>
      <c r="D29" s="364"/>
      <c r="E29" s="365">
        <v>1.41</v>
      </c>
      <c r="F29" s="364"/>
      <c r="G29" s="386"/>
      <c r="H29" s="387"/>
      <c r="I29" s="385"/>
      <c r="J29" s="385"/>
    </row>
    <row r="30" spans="1:10" ht="15.75" customHeight="1">
      <c r="B30" s="23" t="s">
        <v>36</v>
      </c>
      <c r="C30" s="361">
        <f>C29*$I$5/1000000</f>
        <v>2274.6610618879999</v>
      </c>
      <c r="D30" s="362"/>
      <c r="E30" s="361">
        <f>E29*$I$5/1000000</f>
        <v>1879.9953676799998</v>
      </c>
      <c r="F30" s="362"/>
      <c r="G30" s="407">
        <f>G29*$I$5/1000000</f>
        <v>0</v>
      </c>
      <c r="H30" s="408"/>
      <c r="I30" s="376"/>
      <c r="J30" s="376"/>
    </row>
    <row r="31" spans="1:10" ht="15.75" customHeight="1">
      <c r="B31" s="2" t="s">
        <v>37</v>
      </c>
      <c r="C31" s="370">
        <f>C28*C29</f>
        <v>102360</v>
      </c>
      <c r="D31" s="371"/>
      <c r="E31" s="372">
        <f>E28*E29</f>
        <v>84600</v>
      </c>
      <c r="F31" s="373"/>
      <c r="G31" s="409">
        <f>G28*G29</f>
        <v>0</v>
      </c>
      <c r="H31" s="410"/>
      <c r="I31" s="372">
        <f>C31+E31+G31</f>
        <v>186960</v>
      </c>
      <c r="J31" s="372"/>
    </row>
    <row r="32" spans="1:10" ht="15.75" customHeight="1">
      <c r="B32" s="1" t="s">
        <v>38</v>
      </c>
      <c r="C32" s="366"/>
      <c r="D32" s="367"/>
      <c r="E32" s="374">
        <f>IF(C31=0,"-",(C31+E31)/(C28+E28))</f>
        <v>1.5580000000000001</v>
      </c>
      <c r="F32" s="375"/>
      <c r="G32" s="115"/>
      <c r="H32" s="115"/>
      <c r="I32" s="374">
        <f>IF(I31=0,"",I31/I28)</f>
        <v>1.5580000000000001</v>
      </c>
      <c r="J32" s="374"/>
    </row>
    <row r="33" spans="2:11" ht="15.75" customHeight="1">
      <c r="B33" s="1" t="s">
        <v>39</v>
      </c>
      <c r="C33" s="368"/>
      <c r="D33" s="369"/>
      <c r="E33" s="361">
        <f>IF(E32="-","-",E32*$I$5/1000000)</f>
        <v>2077.328214784</v>
      </c>
      <c r="F33" s="362"/>
      <c r="G33" s="116"/>
      <c r="H33" s="116"/>
      <c r="I33" s="361">
        <f>IF(I32="","",I32*$I$5/1000000)</f>
        <v>2077.328214784</v>
      </c>
      <c r="J33" s="361"/>
    </row>
    <row r="34" spans="2:11" ht="15.75" customHeight="1"/>
    <row r="35" spans="2:11" ht="15.75" customHeight="1">
      <c r="B35" s="143" t="s">
        <v>286</v>
      </c>
      <c r="C35" s="434">
        <f>E29</f>
        <v>1.41</v>
      </c>
      <c r="D35" s="435"/>
      <c r="G35" s="436" t="s">
        <v>317</v>
      </c>
      <c r="H35" s="437"/>
      <c r="I35" s="432">
        <f>'FCFF Model'!C31</f>
        <v>1.9202618648445227</v>
      </c>
      <c r="J35" s="433"/>
    </row>
    <row r="36" spans="2:11" ht="15.75" customHeight="1">
      <c r="B36" s="143" t="s">
        <v>318</v>
      </c>
      <c r="C36" s="434">
        <f>E32</f>
        <v>1.5580000000000001</v>
      </c>
      <c r="D36" s="435"/>
      <c r="G36" s="431" t="s">
        <v>315</v>
      </c>
      <c r="H36" s="431"/>
      <c r="I36" s="432">
        <f>'FCFF Model'!C32</f>
        <v>1.5174412675390871</v>
      </c>
      <c r="J36" s="433"/>
    </row>
    <row r="37" spans="2:11" ht="15.75" customHeight="1"/>
    <row r="38" spans="2:11" ht="15.75" customHeight="1">
      <c r="B38" s="21" t="s">
        <v>296</v>
      </c>
      <c r="G38" s="319" t="s">
        <v>134</v>
      </c>
      <c r="H38" s="130"/>
      <c r="I38" s="130"/>
      <c r="J38" s="130"/>
      <c r="K38" s="324"/>
    </row>
    <row r="39" spans="2:11" ht="15.75" customHeight="1">
      <c r="B39" s="3" t="s">
        <v>298</v>
      </c>
      <c r="F39" s="208">
        <f>'Qualitative Analysis'!E8</f>
        <v>0.64</v>
      </c>
      <c r="G39" s="331"/>
      <c r="H39" s="114"/>
      <c r="I39" s="114"/>
      <c r="J39" s="114"/>
    </row>
    <row r="40" spans="2:11" ht="15.75" customHeight="1">
      <c r="B40" s="3" t="s">
        <v>297</v>
      </c>
      <c r="F40" s="208">
        <f>80%-(5%*IF(LEFT(D20,2)="St",1,IF(LEFT(D20,2)="Sl",2,IF(LEFT(D20,2)="Cy",3,IF(LEFT(D20,2)="Fa",4,IF(LEFT(D20,2)="Tu",5,0))))))</f>
        <v>0.8</v>
      </c>
      <c r="G40" s="73"/>
      <c r="H40" s="73"/>
      <c r="I40" s="73"/>
      <c r="J40" s="73"/>
    </row>
    <row r="41" spans="2:11" ht="15.75" customHeight="1">
      <c r="B41" s="3" t="s">
        <v>303</v>
      </c>
      <c r="F41" s="329">
        <f>'Qualitative Analysis'!E64</f>
        <v>0.44088435374149659</v>
      </c>
      <c r="G41" s="331"/>
      <c r="H41" s="114"/>
      <c r="I41" s="114"/>
      <c r="J41" s="114"/>
    </row>
    <row r="42" spans="2:11" ht="15.75" customHeight="1">
      <c r="B42" s="3" t="s">
        <v>322</v>
      </c>
      <c r="F42" s="332">
        <v>0.5</v>
      </c>
      <c r="G42" s="73"/>
      <c r="H42" s="73"/>
      <c r="I42" s="73"/>
      <c r="J42" s="73"/>
    </row>
    <row r="43" spans="2:11" ht="15.75" customHeight="1">
      <c r="G43" s="114"/>
      <c r="H43" s="114"/>
      <c r="I43" s="114"/>
      <c r="J43" s="114"/>
    </row>
    <row r="44" spans="2:11" ht="15.75" customHeight="1">
      <c r="E44" s="258" t="s">
        <v>319</v>
      </c>
      <c r="F44" s="258" t="s">
        <v>320</v>
      </c>
    </row>
    <row r="45" spans="2:11" ht="15.75" customHeight="1">
      <c r="B45" s="3" t="s">
        <v>299</v>
      </c>
      <c r="E45" s="329">
        <f>I35/C29-1</f>
        <v>0.12559312124532407</v>
      </c>
      <c r="F45" s="332">
        <f>I35/C36-1</f>
        <v>0.23251724316079758</v>
      </c>
    </row>
    <row r="46" spans="2:11" ht="15.75" customHeight="1">
      <c r="B46" s="3" t="s">
        <v>300</v>
      </c>
      <c r="E46" s="329">
        <f>'FCFF Model'!C32/C29-1</f>
        <v>-0.11052680683523608</v>
      </c>
      <c r="F46" s="332">
        <f>'FCFF Model'!C32/C36-1</f>
        <v>-2.6032562555143079E-2</v>
      </c>
    </row>
    <row r="47" spans="2:11" ht="15.75" customHeight="1"/>
    <row r="48" spans="2:11" ht="15.75" customHeight="1">
      <c r="B48" s="3" t="s">
        <v>302</v>
      </c>
      <c r="E48" s="353">
        <f>IF(E45&lt;=0,0,AVERAGE(F39:F41,1-F42,E45/J25))</f>
        <v>0.57665136774455861</v>
      </c>
      <c r="F48" s="329">
        <f>IF(F45&lt;=0,0,AVERAGE(F39:F41,1-F42,F45/J25))</f>
        <v>0.66219066527693737</v>
      </c>
      <c r="G48" s="73"/>
    </row>
    <row r="49" spans="2:9" ht="15.75" customHeight="1">
      <c r="B49" s="3" t="s">
        <v>301</v>
      </c>
      <c r="D49" s="326"/>
      <c r="E49" s="328">
        <f>IF(E46&gt;=0,100,E45/ABS(E46))</f>
        <v>1.1363136676204495</v>
      </c>
      <c r="F49" s="328">
        <f>IF(F46&gt;=0,100,F45/ABS(F46))</f>
        <v>8.93178467038239</v>
      </c>
      <c r="G49" s="73"/>
    </row>
    <row r="50" spans="2:9" ht="15.75" customHeight="1">
      <c r="B50" s="3" t="s">
        <v>340</v>
      </c>
      <c r="E50" s="358">
        <f>MAX(J25*2/E45,1)</f>
        <v>3.9811097538004327</v>
      </c>
      <c r="F50" s="358">
        <f>MAX(J25*2/F45,1)</f>
        <v>2.1503781534783828</v>
      </c>
      <c r="G50" s="330"/>
      <c r="H50" s="84"/>
      <c r="I50" s="84"/>
    </row>
    <row r="51" spans="2:9" ht="15.75" customHeight="1">
      <c r="B51" s="3" t="s">
        <v>339</v>
      </c>
      <c r="E51" s="327">
        <f>MIN(MAX(E48-ABS((1-E48)/E49),0)/E50,H51)</f>
        <v>5.1264145288331488E-2</v>
      </c>
      <c r="F51" s="327">
        <f>MIN(MAX(F48-ABS((1-F48)/F49),0)/F50,H51)</f>
        <v>0.2903534105982371</v>
      </c>
      <c r="G51" s="330" t="s">
        <v>304</v>
      </c>
      <c r="H51" s="77">
        <v>0.4</v>
      </c>
    </row>
    <row r="52" spans="2:9" ht="15.75" customHeight="1"/>
    <row r="53" spans="2:9" ht="15.75" customHeight="1">
      <c r="B53" s="21" t="s">
        <v>308</v>
      </c>
    </row>
    <row r="54" spans="2:9" ht="15.75" customHeight="1">
      <c r="B54" s="3" t="s">
        <v>309</v>
      </c>
    </row>
    <row r="55" spans="2:9" ht="15.75" customHeight="1">
      <c r="B55" s="3" t="s">
        <v>310</v>
      </c>
    </row>
    <row r="56" spans="2:9" ht="15.75" customHeight="1"/>
    <row r="57" spans="2:9" ht="15.75" customHeight="1">
      <c r="B57" s="3" t="s">
        <v>311</v>
      </c>
    </row>
    <row r="58" spans="2:9" ht="15.75" customHeight="1">
      <c r="B58" s="3" t="s">
        <v>323</v>
      </c>
    </row>
    <row r="59" spans="2:9" ht="15.75" customHeight="1"/>
    <row r="60" spans="2:9" ht="15.75" customHeight="1"/>
    <row r="61" spans="2:9" ht="15.75" customHeight="1"/>
    <row r="62" spans="2:9" ht="15.75" customHeight="1"/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54">
    <mergeCell ref="G36:H36"/>
    <mergeCell ref="I36:J36"/>
    <mergeCell ref="C36:D36"/>
    <mergeCell ref="C35:D35"/>
    <mergeCell ref="I35:J35"/>
    <mergeCell ref="G35:H35"/>
    <mergeCell ref="G30:H30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F16:F18"/>
    <mergeCell ref="G16:G18"/>
    <mergeCell ref="I26:J26"/>
    <mergeCell ref="G22:J22"/>
    <mergeCell ref="C12:D12"/>
    <mergeCell ref="I11:J11"/>
    <mergeCell ref="C22:F22"/>
    <mergeCell ref="C11:D11"/>
    <mergeCell ref="G28:H28"/>
    <mergeCell ref="I29:J29"/>
    <mergeCell ref="G29:H29"/>
    <mergeCell ref="E27:F27"/>
    <mergeCell ref="C27:D27"/>
    <mergeCell ref="I16:I18"/>
    <mergeCell ref="G23:J23"/>
    <mergeCell ref="E16:E18"/>
    <mergeCell ref="I27:J27"/>
    <mergeCell ref="G27:H27"/>
    <mergeCell ref="E26:H26"/>
    <mergeCell ref="C16:C18"/>
    <mergeCell ref="I30:J30"/>
    <mergeCell ref="I33:J33"/>
    <mergeCell ref="I31:J31"/>
    <mergeCell ref="I28:J28"/>
    <mergeCell ref="I32:J32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C29:D29"/>
  </mergeCells>
  <phoneticPr fontId="31" type="noConversion"/>
  <conditionalFormatting sqref="B16">
    <cfRule type="cellIs" dxfId="17" priority="9" operator="lessThan">
      <formula>$B$18</formula>
    </cfRule>
  </conditionalFormatting>
  <conditionalFormatting sqref="C35:D36 I35:J36">
    <cfRule type="containsBlanks" priority="2">
      <formula>LEN(TRIM(C35))=0</formula>
    </cfRule>
  </conditionalFormatting>
  <conditionalFormatting sqref="C26:E26 I26 C28:G29 I28:I29">
    <cfRule type="containsBlanks" priority="26">
      <formula>LEN(TRIM(C26))=0</formula>
    </cfRule>
  </conditionalFormatting>
  <conditionalFormatting sqref="D16 D18">
    <cfRule type="cellIs" dxfId="16" priority="22" operator="lessThan">
      <formula>0</formula>
    </cfRule>
  </conditionalFormatting>
  <conditionalFormatting sqref="E14">
    <cfRule type="cellIs" dxfId="15" priority="14" operator="greaterThan">
      <formula>$B$16</formula>
    </cfRule>
  </conditionalFormatting>
  <conditionalFormatting sqref="E49:F49">
    <cfRule type="cellIs" dxfId="14" priority="5" operator="lessThan">
      <formula>1</formula>
    </cfRule>
  </conditionalFormatting>
  <conditionalFormatting sqref="E50:F50">
    <cfRule type="containsBlanks" priority="1">
      <formula>LEN(TRIM(E50))=0</formula>
    </cfRule>
  </conditionalFormatting>
  <conditionalFormatting sqref="E26:H26">
    <cfRule type="containsBlanks" dxfId="13" priority="10">
      <formula>LEN(TRIM(E26))=0</formula>
    </cfRule>
  </conditionalFormatting>
  <conditionalFormatting sqref="F16">
    <cfRule type="cellIs" dxfId="12" priority="17" operator="greaterThan">
      <formula>$B$16</formula>
    </cfRule>
  </conditionalFormatting>
  <conditionalFormatting sqref="G16">
    <cfRule type="cellIs" dxfId="11" priority="32" operator="lessThan">
      <formula>0</formula>
    </cfRule>
  </conditionalFormatting>
  <conditionalFormatting sqref="K38">
    <cfRule type="containsBlanks" priority="11">
      <formula>LEN(TRIM(K38))=0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17" sqref="C1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44926</v>
      </c>
      <c r="D3" s="6"/>
      <c r="E3" s="176">
        <v>1</v>
      </c>
      <c r="F3" s="174">
        <f t="array" ref="F3">AVERAGE(C19:INDEX(C19:M19,1,E3))</f>
        <v>64730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58777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44926</v>
      </c>
      <c r="D6" s="263">
        <f>EOMONTH(EDATE(C6,-12),0)</f>
        <v>44561</v>
      </c>
      <c r="E6" s="263">
        <f t="shared" ref="E6:M6" si="0">EOMONTH(EDATE(D6,-12),0)</f>
        <v>44196</v>
      </c>
      <c r="F6" s="263">
        <f t="shared" si="0"/>
        <v>43830</v>
      </c>
      <c r="G6" s="263">
        <f t="shared" si="0"/>
        <v>43465</v>
      </c>
      <c r="H6" s="263">
        <f t="shared" si="0"/>
        <v>43100</v>
      </c>
      <c r="I6" s="263">
        <f t="shared" si="0"/>
        <v>42735</v>
      </c>
      <c r="J6" s="263">
        <f t="shared" si="0"/>
        <v>42369</v>
      </c>
      <c r="K6" s="263">
        <f t="shared" si="0"/>
        <v>42004</v>
      </c>
      <c r="L6" s="263">
        <f t="shared" si="0"/>
        <v>41639</v>
      </c>
      <c r="M6" s="263">
        <f t="shared" si="0"/>
        <v>41274</v>
      </c>
    </row>
    <row r="7" spans="1:14" ht="15.75" customHeight="1">
      <c r="A7" s="9"/>
      <c r="B7" s="43" t="s">
        <v>43</v>
      </c>
      <c r="C7" s="35">
        <v>1442194</v>
      </c>
      <c r="D7" s="35">
        <v>1769157</v>
      </c>
      <c r="E7" s="35">
        <v>1702154</v>
      </c>
      <c r="F7" s="35">
        <v>1383402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-0.18481287980659711</v>
      </c>
      <c r="D8" s="14">
        <f t="shared" si="1"/>
        <v>3.9363653347464389E-2</v>
      </c>
      <c r="E8" s="14">
        <f t="shared" si="1"/>
        <v>0.2304116952266948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842386</v>
      </c>
      <c r="D9" s="35">
        <v>981731</v>
      </c>
      <c r="E9" s="35">
        <v>959572</v>
      </c>
      <c r="F9" s="35">
        <v>783542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0.41589966398417966</v>
      </c>
      <c r="D10" s="14">
        <f t="shared" si="2"/>
        <v>0.44508542769239812</v>
      </c>
      <c r="E10" s="14">
        <f t="shared" si="2"/>
        <v>0.43626017387380928</v>
      </c>
      <c r="F10" s="14">
        <f t="shared" si="2"/>
        <v>0.43361221105651143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541031</v>
      </c>
      <c r="D11" s="35">
        <v>715420</v>
      </c>
      <c r="E11" s="35">
        <v>466870</v>
      </c>
      <c r="F11" s="35">
        <v>375859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0.37514439804908356</v>
      </c>
      <c r="D12" s="14">
        <f t="shared" si="3"/>
        <v>0.40438468717021719</v>
      </c>
      <c r="E12" s="14">
        <f t="shared" si="3"/>
        <v>0.27428188048789942</v>
      </c>
      <c r="F12" s="14">
        <f t="shared" si="3"/>
        <v>0.27169181481593929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4.0755265935096111E-2</v>
      </c>
      <c r="D13" s="14">
        <f t="shared" si="4"/>
        <v>4.0700740522180902E-2</v>
      </c>
      <c r="E13" s="14">
        <f t="shared" si="4"/>
        <v>0.16197829338590986</v>
      </c>
      <c r="F13" s="14">
        <f t="shared" si="4"/>
        <v>0.16192039624057217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58777</v>
      </c>
      <c r="D14" s="27">
        <f t="shared" si="5"/>
        <v>72006</v>
      </c>
      <c r="E14" s="27">
        <f t="shared" si="5"/>
        <v>275712</v>
      </c>
      <c r="F14" s="27">
        <f t="shared" si="5"/>
        <v>224001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-0.18372080104435742</v>
      </c>
      <c r="D15" s="14">
        <f t="shared" ref="D15:M15" si="6">IF(E14="","",IF(ABS(D14+E14)=ABS(D14)+ABS(E14),IF(D14&lt;0,-1,1)*(D14-E14)/E14,"Turn"))</f>
        <v>-0.73883617688022285</v>
      </c>
      <c r="E15" s="14">
        <f t="shared" si="6"/>
        <v>0.23085164798371435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IF(C14="","",C14*(1-Operation!$D$18))</f>
        <v>58777</v>
      </c>
      <c r="D16" s="140">
        <f>IF(D14="","",D14*(1-Operation!$D$18))</f>
        <v>72006</v>
      </c>
      <c r="E16" s="140">
        <f>IF(E14="","",E14*(1-Operation!$D$18))</f>
        <v>275712</v>
      </c>
      <c r="F16" s="140">
        <f>IF(F14="","",F14*(1-Operation!$D$18))</f>
        <v>224001</v>
      </c>
      <c r="G16" s="140" t="str">
        <f>IF(G14="","",G14*(1-Operation!$D$18))</f>
        <v/>
      </c>
      <c r="H16" s="140" t="str">
        <f>IF(H14="","",H14*(1-Operation!$D$18))</f>
        <v/>
      </c>
      <c r="I16" s="140" t="str">
        <f>IF(I14="","",I14*(1-Operation!$D$18))</f>
        <v/>
      </c>
      <c r="J16" s="140" t="str">
        <f>IF(J14="","",J14*(1-Operation!$D$18))</f>
        <v/>
      </c>
      <c r="K16" s="140" t="str">
        <f>IF(K14="","",K14*(1-Operation!$D$18))</f>
        <v/>
      </c>
      <c r="L16" s="140" t="str">
        <f>IF(L14="","",L14*(1-Operation!$D$18))</f>
        <v/>
      </c>
      <c r="M16" s="231" t="str">
        <f>IF(M14="","",M14*(1-Operation!$D$18))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4.0755265935096111E-2</v>
      </c>
      <c r="D17" s="126">
        <f t="shared" si="7"/>
        <v>4.0700740522180902E-2</v>
      </c>
      <c r="E17" s="126">
        <f t="shared" si="7"/>
        <v>0.16197829338590986</v>
      </c>
      <c r="F17" s="126">
        <f t="shared" si="7"/>
        <v>0.16192039624057217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863</v>
      </c>
      <c r="D18" s="141">
        <v>1613</v>
      </c>
      <c r="E18" s="141">
        <v>2645</v>
      </c>
      <c r="F18" s="141">
        <v>299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64730</v>
      </c>
      <c r="D19" s="35">
        <v>92093</v>
      </c>
      <c r="E19" s="35">
        <v>223781</v>
      </c>
      <c r="F19" s="35">
        <v>185164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-0.29712355987968686</v>
      </c>
      <c r="D20" s="14">
        <f t="shared" ref="D20:M20" si="8">IF(E19="","",IF(ABS(D19+E19)=ABS(D19)+ABS(E19),IF(D19&lt;0,-1,1)*(D19-E19)/E19,"Turn"))</f>
        <v>-0.58846818988207217</v>
      </c>
      <c r="E20" s="14">
        <f t="shared" si="8"/>
        <v>0.20855565876736298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3155075</v>
      </c>
      <c r="D21" s="35">
        <v>3103683</v>
      </c>
      <c r="E21" s="35">
        <v>1398268</v>
      </c>
      <c r="F21" s="35">
        <v>1034632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734476</v>
      </c>
      <c r="D22" s="35">
        <v>677999</v>
      </c>
      <c r="E22" s="35">
        <v>1352795</v>
      </c>
      <c r="F22" s="35">
        <v>1205068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6202</v>
      </c>
      <c r="D23" s="35">
        <v>5517</v>
      </c>
      <c r="E23" s="35">
        <v>301783</v>
      </c>
      <c r="F23" s="35">
        <v>3225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6202</v>
      </c>
      <c r="D24" s="137">
        <v>5517</v>
      </c>
      <c r="E24" s="137">
        <v>1783</v>
      </c>
      <c r="F24" s="137">
        <v>3225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10412</v>
      </c>
      <c r="D25" s="35">
        <v>9392</v>
      </c>
      <c r="E25" s="35">
        <v>5096</v>
      </c>
      <c r="F25" s="35">
        <v>6880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10412</v>
      </c>
      <c r="D26" s="137">
        <v>9392</v>
      </c>
      <c r="E26" s="137">
        <v>5096</v>
      </c>
      <c r="F26" s="137">
        <v>6880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16614</v>
      </c>
      <c r="D27" s="27">
        <f t="shared" si="9"/>
        <v>14909</v>
      </c>
      <c r="E27" s="27">
        <f t="shared" si="9"/>
        <v>306879</v>
      </c>
      <c r="F27" s="27">
        <f t="shared" si="9"/>
        <v>10105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2819770</v>
      </c>
      <c r="D28" s="35">
        <v>2735259</v>
      </c>
      <c r="E28" s="35">
        <v>250534</v>
      </c>
      <c r="F28" s="35">
        <v>13930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2812473</v>
      </c>
      <c r="D29" s="137">
        <v>2733761</v>
      </c>
      <c r="E29" s="137">
        <v>247681</v>
      </c>
      <c r="F29" s="137">
        <v>13234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187570</v>
      </c>
      <c r="D30" s="35">
        <v>197933</v>
      </c>
      <c r="E30" s="35">
        <v>172844</v>
      </c>
      <c r="F30" s="35">
        <v>159191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1335766</v>
      </c>
      <c r="D31" s="35">
        <v>2558156</v>
      </c>
      <c r="E31" s="35">
        <v>884766</v>
      </c>
      <c r="F31" s="35">
        <v>511035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-5.5248707149330917E-2</v>
      </c>
      <c r="D32" s="14">
        <f t="shared" si="10"/>
        <v>0.12675501305997483</v>
      </c>
      <c r="E32" s="14">
        <f t="shared" si="10"/>
        <v>7.8990303394968875E-2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-27988.032799999997</v>
      </c>
      <c r="D33" s="236">
        <f>IF(E7="","",(D7-E7)*Asset_Model!$D$65)</f>
        <v>5735.4567999999999</v>
      </c>
      <c r="E33" s="236">
        <f>IF(F7="","",(E7-F7)*Asset_Model!$D$65)</f>
        <v>27285.171199999997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IF(D7="","",C30-D30+C33+IF($C$49="Yes",C51,0))</f>
        <v>-38351.032800000001</v>
      </c>
      <c r="D34" s="140">
        <f>IF(E7="","",D30-E30+D33+IF($C$49="Yes",D51,0))</f>
        <v>30824.4568</v>
      </c>
      <c r="E34" s="140">
        <f t="shared" ref="E34:F34" si="11">IF(F7="","",E30-F30+E33+IF($C$49="Yes",E51,0))</f>
        <v>40938.171199999997</v>
      </c>
      <c r="F34" s="140" t="str">
        <f t="shared" si="11"/>
        <v/>
      </c>
      <c r="G34" s="140" t="str">
        <f t="shared" ref="G34" si="12">IF(H7="","",G30-H30+G33+IF($C$49="Yes",G51,0))</f>
        <v/>
      </c>
      <c r="H34" s="140" t="str">
        <f t="shared" ref="H34" si="13">IF(I7="","",H30-I30+H33+IF($C$49="Yes",H51,0))</f>
        <v/>
      </c>
      <c r="I34" s="140" t="str">
        <f t="shared" ref="I34" si="14">IF(J7="","",I30-J30+I33+IF($C$49="Yes",I51,0))</f>
        <v/>
      </c>
      <c r="J34" s="140" t="str">
        <f t="shared" ref="J34" si="15">IF(K7="","",J30-K30+J33+IF($C$49="Yes",J51,0))</f>
        <v/>
      </c>
      <c r="K34" s="140" t="str">
        <f t="shared" ref="K34" si="16">IF(L7="","",K30-L30+K33+IF($C$49="Yes",K51,0))</f>
        <v/>
      </c>
      <c r="L34" s="140" t="str">
        <f t="shared" ref="L34" si="17">IF(M7="","",L30-M30+L33+IF($C$49="Yes",L51,0))</f>
        <v/>
      </c>
      <c r="M34" s="318" t="str">
        <f t="shared" ref="M34" si="18">IF(N7="","",M30-N30+M33+IF($C$49="Yes",M51,0))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-0.65248367218469816</v>
      </c>
      <c r="D35" s="227">
        <f t="shared" si="19"/>
        <v>0.42808178207371606</v>
      </c>
      <c r="E35" s="227">
        <f t="shared" si="19"/>
        <v>0.14848164461467037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96133</v>
      </c>
      <c r="D37" s="162">
        <v>58667</v>
      </c>
      <c r="E37" s="162">
        <v>221311</v>
      </c>
      <c r="F37" s="162">
        <v>220950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7.209992765422174E-2</v>
      </c>
      <c r="D39" s="167">
        <f t="shared" si="20"/>
        <v>4.4000358416883142E-2</v>
      </c>
      <c r="E39" s="167">
        <f t="shared" si="20"/>
        <v>0.16598365898373574</v>
      </c>
      <c r="F39" s="167">
        <f t="shared" si="20"/>
        <v>0.16571290831660609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3.6924997428868312E-3</v>
      </c>
      <c r="D42" s="48">
        <f t="shared" ref="D42:M42" si="22">IF(D29="","",D25/D29)</f>
        <v>3.4355600215234617E-3</v>
      </c>
      <c r="E42" s="48">
        <f t="shared" si="22"/>
        <v>2.0574852330215075E-2</v>
      </c>
      <c r="F42" s="48">
        <f t="shared" si="22"/>
        <v>0.51987305425419372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5.9072567096644128E-3</v>
      </c>
      <c r="D43" s="14">
        <f t="shared" si="23"/>
        <v>5.4536588970286719E-3</v>
      </c>
      <c r="E43" s="14">
        <f t="shared" si="23"/>
        <v>1.2390090479285856</v>
      </c>
      <c r="F43" s="14">
        <f t="shared" si="23"/>
        <v>0.76356354843584706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3.5377994462501503</v>
      </c>
      <c r="D44" s="50">
        <f t="shared" si="24"/>
        <v>4.8297001810986648</v>
      </c>
      <c r="E44" s="50">
        <f t="shared" si="24"/>
        <v>0.89843879835374851</v>
      </c>
      <c r="F44" s="50">
        <f t="shared" si="24"/>
        <v>22.167342899554676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1.4682613947632577E-2</v>
      </c>
      <c r="D45" s="14">
        <f t="shared" si="25"/>
        <v>2.2400911035191512E-2</v>
      </c>
      <c r="E45" s="14">
        <f t="shared" si="25"/>
        <v>9.5933437790157849E-3</v>
      </c>
      <c r="F45" s="14">
        <f t="shared" si="25"/>
        <v>1.3348154695737966E-3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4.2956815471165841</v>
      </c>
      <c r="D46" s="51">
        <f t="shared" si="26"/>
        <v>4.5777102916081001</v>
      </c>
      <c r="E46" s="51">
        <f t="shared" si="26"/>
        <v>1.0336141100462377</v>
      </c>
      <c r="F46" s="51">
        <f t="shared" si="26"/>
        <v>0.85856731736300362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74</v>
      </c>
      <c r="C48" s="52"/>
      <c r="D48" s="52"/>
      <c r="E48" s="52"/>
      <c r="F48" s="52"/>
    </row>
    <row r="49" spans="1:13" ht="15" customHeight="1">
      <c r="A49" s="9"/>
      <c r="B49" s="5" t="s">
        <v>75</v>
      </c>
      <c r="C49" s="317" t="s">
        <v>76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>
      <c r="A50" s="9"/>
      <c r="B50" s="5"/>
      <c r="C50" s="314"/>
      <c r="D50" s="6"/>
      <c r="E50" s="314"/>
      <c r="F50" s="6"/>
      <c r="G50" s="6"/>
      <c r="H50" s="6"/>
      <c r="I50" s="6"/>
      <c r="J50" s="6"/>
      <c r="K50" s="6"/>
      <c r="L50" s="6"/>
      <c r="M50" s="6"/>
    </row>
    <row r="51" spans="1:13" ht="15.75" customHeight="1">
      <c r="A51" s="9"/>
      <c r="B51" s="315" t="s">
        <v>276</v>
      </c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3"/>
    </row>
    <row r="52" spans="1:13" ht="15.75" customHeight="1">
      <c r="A52" s="9"/>
      <c r="B52" s="316" t="s">
        <v>277</v>
      </c>
      <c r="C52" s="320" t="str">
        <f>IF(C51="","",C51/C7)</f>
        <v/>
      </c>
      <c r="D52" s="320" t="str">
        <f t="shared" ref="D52:M52" si="27">IF(D51="","",D51/D7)</f>
        <v/>
      </c>
      <c r="E52" s="320" t="str">
        <f t="shared" si="27"/>
        <v/>
      </c>
      <c r="F52" s="320" t="str">
        <f t="shared" si="27"/>
        <v/>
      </c>
      <c r="G52" s="320" t="str">
        <f t="shared" si="27"/>
        <v/>
      </c>
      <c r="H52" s="320" t="str">
        <f>IF(H51="","",H51/H7)</f>
        <v/>
      </c>
      <c r="I52" s="320" t="str">
        <f t="shared" si="27"/>
        <v/>
      </c>
      <c r="J52" s="320" t="str">
        <f t="shared" si="27"/>
        <v/>
      </c>
      <c r="K52" s="320" t="str">
        <f t="shared" si="27"/>
        <v/>
      </c>
      <c r="L52" s="320" t="str">
        <f t="shared" si="27"/>
        <v/>
      </c>
      <c r="M52" s="321" t="str">
        <f t="shared" si="27"/>
        <v/>
      </c>
    </row>
    <row r="53" spans="1:13" ht="15.75" customHeight="1">
      <c r="A53" s="9"/>
      <c r="B53" s="53"/>
      <c r="C53" s="56"/>
      <c r="D53" s="56"/>
    </row>
    <row r="54" spans="1:13" ht="15.75" customHeight="1">
      <c r="A54" s="9"/>
      <c r="B54" s="53"/>
      <c r="C54" s="56"/>
      <c r="D54" s="56"/>
    </row>
    <row r="55" spans="1:13" ht="15.75" customHeight="1">
      <c r="A55" s="9"/>
      <c r="B55" s="53"/>
      <c r="C55" s="56"/>
      <c r="D55" s="56"/>
    </row>
    <row r="56" spans="1:13" ht="15.75" customHeight="1">
      <c r="A56" s="9"/>
      <c r="B56" s="53"/>
      <c r="C56" s="57"/>
      <c r="D56" s="57"/>
    </row>
    <row r="57" spans="1:13" ht="15.75" customHeight="1">
      <c r="A57" s="9"/>
      <c r="B57" s="53"/>
      <c r="C57" s="56"/>
      <c r="D57" s="56"/>
    </row>
    <row r="58" spans="1:13" ht="15.75" customHeight="1">
      <c r="A58" s="9"/>
      <c r="B58" s="53"/>
      <c r="C58" s="57"/>
      <c r="D58" s="57"/>
    </row>
    <row r="59" spans="1:13" ht="15.75" customHeight="1">
      <c r="A59" s="9"/>
    </row>
    <row r="60" spans="1:13" ht="15.75" customHeight="1">
      <c r="A60" s="9"/>
    </row>
    <row r="61" spans="1:13" ht="15.75" customHeight="1">
      <c r="A61" s="9"/>
    </row>
    <row r="62" spans="1:13" ht="15.75" customHeight="1">
      <c r="A62" s="9"/>
    </row>
    <row r="63" spans="1:13" ht="15.75" customHeight="1">
      <c r="A63" s="9"/>
    </row>
    <row r="64" spans="1:13" ht="15.75" customHeight="1">
      <c r="A64" s="9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</sheetData>
  <phoneticPr fontId="31" type="noConversion"/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14" sqref="E14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2819770</v>
      </c>
      <c r="E3" s="153" t="str">
        <f>IF((C46-I46)=D3,"", "Error!")</f>
        <v/>
      </c>
      <c r="F3" s="6"/>
      <c r="G3" s="6"/>
      <c r="H3" s="258" t="s">
        <v>244</v>
      </c>
      <c r="I3" s="259">
        <v>2812473</v>
      </c>
      <c r="K3" s="73"/>
    </row>
    <row r="4" spans="1:11" ht="15" customHeight="1">
      <c r="B4" s="5" t="s">
        <v>217</v>
      </c>
      <c r="C4" s="6"/>
      <c r="D4" s="260">
        <f>D3-I3</f>
        <v>7297</v>
      </c>
      <c r="E4" s="147"/>
      <c r="F4" s="6"/>
      <c r="G4" s="6"/>
      <c r="H4" s="60" t="s">
        <v>80</v>
      </c>
      <c r="I4" s="89">
        <f>(I3*Dashboard!I12*Data!C4)/Dashboard!I5</f>
        <v>2.3047718127798005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1851707.2147338018</v>
      </c>
      <c r="E6" s="14">
        <f>1-D6/D3</f>
        <v>0.3433126763055846</v>
      </c>
      <c r="F6" s="6"/>
      <c r="G6" s="6"/>
      <c r="H6" s="3" t="s">
        <v>287</v>
      </c>
      <c r="I6" s="69">
        <f>C26/I26</f>
        <v>4.2956815471165841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1.5174412675390871</v>
      </c>
      <c r="E7" s="49" t="str">
        <f>Dashboard!J4</f>
        <v>HKD</v>
      </c>
      <c r="H7" s="3" t="s">
        <v>288</v>
      </c>
      <c r="I7" s="69">
        <f>C25/I26</f>
        <v>3.8517555372810004</v>
      </c>
      <c r="J7" s="6"/>
      <c r="K7" s="114"/>
    </row>
    <row r="8" spans="1:11" ht="15" customHeight="1">
      <c r="D8" s="6"/>
      <c r="H8" s="3" t="s">
        <v>289</v>
      </c>
      <c r="I8" s="69">
        <f>C24/I26</f>
        <v>3.2124752885050021</v>
      </c>
      <c r="K8" s="73"/>
    </row>
    <row r="9" spans="1:11" ht="15" customHeight="1">
      <c r="A9" s="4"/>
      <c r="B9" s="252" t="s">
        <v>239</v>
      </c>
      <c r="C9" s="239"/>
      <c r="D9" s="255">
        <v>44926</v>
      </c>
      <c r="E9" s="270" t="s">
        <v>327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90</v>
      </c>
      <c r="I11" s="64">
        <v>0</v>
      </c>
      <c r="J11" s="6"/>
      <c r="K11" s="73"/>
    </row>
    <row r="12" spans="1:11" ht="14">
      <c r="B12" s="3" t="s">
        <v>91</v>
      </c>
      <c r="C12" s="64">
        <v>1455986</v>
      </c>
      <c r="D12" s="65">
        <v>0.95</v>
      </c>
      <c r="E12" s="27">
        <f t="shared" si="0"/>
        <v>1383186.7</v>
      </c>
      <c r="F12" s="6"/>
      <c r="G12" s="6"/>
      <c r="H12" s="5" t="s">
        <v>92</v>
      </c>
      <c r="I12" s="64">
        <v>6202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98</v>
      </c>
      <c r="I15" s="152">
        <f>I26-SUM(I11:I14)</f>
        <v>728274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2359486</v>
      </c>
      <c r="D24" s="68">
        <f>IF(E24=0,0,E24/C24)</f>
        <v>0.96914611911238302</v>
      </c>
      <c r="E24" s="27">
        <f>SUM(E11:E14)</f>
        <v>2286686.7000000002</v>
      </c>
      <c r="F24" s="6"/>
      <c r="G24" s="6"/>
      <c r="H24" s="66" t="s">
        <v>290</v>
      </c>
      <c r="I24" s="69">
        <f>E24/($I$26-I15)</f>
        <v>368.70149951628508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2829022</v>
      </c>
      <c r="D25" s="68">
        <f>IF(E25=0,0,E25/C25)</f>
        <v>0.86203292162450484</v>
      </c>
      <c r="E25" s="27">
        <f>E24+SUM(E15:E17)</f>
        <v>2438710.1</v>
      </c>
      <c r="F25" s="6"/>
      <c r="G25" s="6"/>
      <c r="H25" s="66" t="s">
        <v>294</v>
      </c>
      <c r="I25" s="69">
        <f>E25/$I$26</f>
        <v>3.3203400791857054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3155075</v>
      </c>
      <c r="D26" s="14">
        <f t="shared" ref="D26" si="2">E26/C26</f>
        <v>0.79525136486454373</v>
      </c>
      <c r="E26" s="27">
        <f>SUM(E11:E22)</f>
        <v>2509077.7000000002</v>
      </c>
      <c r="H26" s="5" t="s">
        <v>56</v>
      </c>
      <c r="I26" s="64">
        <v>734476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111</v>
      </c>
      <c r="I29" s="64">
        <v>10412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8270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>
      <c r="B39" s="5" t="s">
        <v>120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>
      <c r="B40" s="5" t="s">
        <v>121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123</v>
      </c>
      <c r="I42" s="64">
        <v>18682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2505517</v>
      </c>
      <c r="D44" s="68">
        <f>IF(E44=0,0,E44/C44)</f>
        <v>0.94180251022044559</v>
      </c>
      <c r="E44" s="27">
        <f>E24+SUM(E28:E29)</f>
        <v>2359702.2000000002</v>
      </c>
      <c r="F44" s="6"/>
      <c r="G44" s="6"/>
      <c r="H44" s="66" t="s">
        <v>291</v>
      </c>
      <c r="I44" s="69">
        <f>E44/(I46-I15-I32)</f>
        <v>142.03094980137234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2975053</v>
      </c>
      <c r="D45" s="68">
        <f>IF(E45=0,0,E45/C45)</f>
        <v>0.84426247196268445</v>
      </c>
      <c r="E45" s="27">
        <f>E44+(E25-E24)+SUM(E30:E33)</f>
        <v>2511725.6</v>
      </c>
      <c r="F45" s="6"/>
      <c r="G45" s="6"/>
      <c r="H45" s="66" t="s">
        <v>295</v>
      </c>
      <c r="I45" s="69">
        <f>E45/$I$46</f>
        <v>3.3349252082564349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3572928</v>
      </c>
      <c r="D46" s="14">
        <f>E46/C46</f>
        <v>0.76326186813728125</v>
      </c>
      <c r="E46" s="27">
        <f>E26+E42</f>
        <v>2727079.7</v>
      </c>
      <c r="F46" s="6"/>
      <c r="G46" s="6"/>
      <c r="H46" s="5" t="s">
        <v>292</v>
      </c>
      <c r="I46" s="152">
        <f>I26+I42</f>
        <v>753158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7297</v>
      </c>
      <c r="D50" s="208">
        <f>IF(E50=0, 0,E50/C50)</f>
        <v>1</v>
      </c>
      <c r="E50" s="212">
        <f>MAX(C50,C50*Dashboard!I10)</f>
        <v>7297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38">
        <f>D53+D54+D55</f>
        <v>16614</v>
      </c>
      <c r="E52" s="439"/>
      <c r="F52" s="53"/>
      <c r="G52" s="53"/>
    </row>
    <row r="53" spans="2:9" ht="14.5" thickTop="1">
      <c r="B53" s="58" t="s">
        <v>222</v>
      </c>
      <c r="C53" s="6"/>
      <c r="D53" s="441">
        <f>SUM(I11:I13)+SUM(I28:I30)</f>
        <v>16614</v>
      </c>
      <c r="E53" s="371"/>
      <c r="F53" s="5"/>
      <c r="G53" s="5"/>
      <c r="H53" s="3" t="s">
        <v>293</v>
      </c>
      <c r="I53" s="14">
        <f>D53/I3</f>
        <v>5.9072567096644128E-3</v>
      </c>
    </row>
    <row r="54" spans="2:9" ht="14">
      <c r="B54" s="58" t="s">
        <v>129</v>
      </c>
      <c r="C54" s="6"/>
      <c r="D54" s="448">
        <v>0</v>
      </c>
      <c r="E54" s="364"/>
      <c r="F54" s="6" t="s">
        <v>130</v>
      </c>
      <c r="G54" s="6"/>
    </row>
    <row r="55" spans="2:9" ht="12.75" customHeight="1">
      <c r="B55" s="58" t="s">
        <v>128</v>
      </c>
      <c r="C55" s="6"/>
      <c r="D55" s="448">
        <v>0</v>
      </c>
      <c r="E55" s="364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40"/>
      <c r="E57" s="440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503941</v>
      </c>
      <c r="D58" s="126">
        <f>IF(E58=0,0,E58/C58)</f>
        <v>0.35795559400802873</v>
      </c>
      <c r="E58" s="215">
        <f>E14+E15+(E19*G19)+(E20*G20)+E29+E30+(E31*G31)+(E33*G33)+(E34*G34)+(E35*G35)</f>
        <v>180388.5</v>
      </c>
      <c r="H58" s="6"/>
    </row>
    <row r="59" spans="2:9" ht="14">
      <c r="B59" s="53" t="s">
        <v>89</v>
      </c>
      <c r="C59" s="207">
        <f>C11+C12+C28</f>
        <v>2359486</v>
      </c>
      <c r="D59" s="208">
        <f>IF(E59=0,0,E59/C59)</f>
        <v>0.96914611911238302</v>
      </c>
      <c r="E59" s="209">
        <f>E11+E12+E28</f>
        <v>2286686.7000000002</v>
      </c>
      <c r="F59" s="6"/>
      <c r="G59" s="6"/>
    </row>
    <row r="60" spans="2:9" ht="14">
      <c r="B60" s="53" t="s">
        <v>133</v>
      </c>
      <c r="C60" s="6"/>
      <c r="D60" s="446">
        <f>((Dashboard!I6*Data!C4)+D52+E50-C58-C59)</f>
        <v>-692854.62271999987</v>
      </c>
      <c r="E60" s="447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44">
        <f>((C26-C11-C12-C14-C15-C16*G16-C19*G19-C20*G20)-I26)/Data!C7</f>
        <v>-0.20579547550468244</v>
      </c>
      <c r="E63" s="445"/>
    </row>
    <row r="64" spans="2:9" ht="15" customHeight="1">
      <c r="B64" s="3" t="s">
        <v>250</v>
      </c>
      <c r="D64" s="442">
        <v>8.5599999999999996E-2</v>
      </c>
      <c r="E64" s="443"/>
      <c r="F64" s="250" t="s">
        <v>236</v>
      </c>
    </row>
    <row r="65" spans="2:5" ht="15" customHeight="1">
      <c r="B65" s="271" t="s">
        <v>252</v>
      </c>
      <c r="D65" s="442">
        <v>8.5599999999999996E-2</v>
      </c>
      <c r="E65" s="44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2" sqref="E1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1000CNY)</v>
      </c>
      <c r="C3" s="261">
        <f>Dashboard!E6</f>
        <v>44926</v>
      </c>
      <c r="D3" s="28" t="s">
        <v>235</v>
      </c>
      <c r="E3" s="261">
        <f>EOMONTH(EDATE(C3,12),0)</f>
        <v>45291</v>
      </c>
      <c r="F3" s="28" t="s">
        <v>235</v>
      </c>
      <c r="G3" s="261" t="str">
        <f>IF(G9="","",EOMONTH(EDATE(E3,12),0))</f>
        <v/>
      </c>
      <c r="H3" s="28"/>
      <c r="I3" s="261" t="str">
        <f>IF(I16="","",EOMONTH(EDATE(G3,12),0))</f>
        <v/>
      </c>
      <c r="J3" s="276"/>
      <c r="L3" s="71" t="s">
        <v>134</v>
      </c>
    </row>
    <row r="4" spans="1:13" ht="15.75" customHeight="1">
      <c r="B4" s="272" t="s">
        <v>334</v>
      </c>
      <c r="C4" s="273">
        <v>1296901</v>
      </c>
      <c r="D4" s="244">
        <f>C4/$C$8</f>
        <v>0.89925557865307992</v>
      </c>
      <c r="E4" s="273">
        <f>C4*0.8</f>
        <v>1037520.8</v>
      </c>
      <c r="F4" s="244">
        <f>E4/E$8</f>
        <v>0.89135506019640331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335</v>
      </c>
      <c r="C5" s="273">
        <v>64283</v>
      </c>
      <c r="D5" s="244">
        <f t="shared" ref="D5:D7" si="0">C5/$C$8</f>
        <v>4.4573060212426345E-2</v>
      </c>
      <c r="E5" s="273">
        <f>C5*0.6</f>
        <v>38569.799999999996</v>
      </c>
      <c r="F5" s="244">
        <f t="shared" ref="F5:F7" si="1">E5/E$8</f>
        <v>3.3136093657845929E-2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336</v>
      </c>
      <c r="C6" s="273">
        <v>76943</v>
      </c>
      <c r="D6" s="244">
        <f t="shared" si="0"/>
        <v>5.3351352175920852E-2</v>
      </c>
      <c r="E6" s="273">
        <f>C6*1.1</f>
        <v>84637.3</v>
      </c>
      <c r="F6" s="244">
        <f t="shared" si="1"/>
        <v>7.2713612716353293E-2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337</v>
      </c>
      <c r="C7" s="273">
        <v>4067</v>
      </c>
      <c r="D7" s="244">
        <f t="shared" si="0"/>
        <v>2.820008958572841E-3</v>
      </c>
      <c r="E7" s="273">
        <f>C7*0.8</f>
        <v>3253.6000000000004</v>
      </c>
      <c r="F7" s="244">
        <f t="shared" si="1"/>
        <v>2.7952334293972884E-3</v>
      </c>
      <c r="G7" s="216"/>
      <c r="H7" s="244"/>
      <c r="I7" s="216"/>
      <c r="J7" s="266"/>
      <c r="K7" s="6"/>
      <c r="L7" s="73"/>
      <c r="M7" s="57"/>
    </row>
    <row r="8" spans="1:13" ht="15.75" customHeight="1">
      <c r="B8" s="5" t="s">
        <v>136</v>
      </c>
      <c r="C8" s="177">
        <f>SUM(C4:C7)</f>
        <v>1442194</v>
      </c>
      <c r="D8" s="243"/>
      <c r="E8" s="313">
        <f>SUM(E4:E7)</f>
        <v>1163981.5000000002</v>
      </c>
      <c r="F8" s="243"/>
      <c r="G8" s="313"/>
      <c r="H8" s="243"/>
      <c r="I8" s="222"/>
      <c r="J8" s="267"/>
      <c r="K8" s="6"/>
      <c r="L8" s="73"/>
      <c r="M8" s="57"/>
    </row>
    <row r="9" spans="1:13" ht="15.75" customHeight="1">
      <c r="B9" s="17" t="s">
        <v>135</v>
      </c>
      <c r="C9" s="184"/>
      <c r="D9" s="245"/>
      <c r="E9" s="18">
        <f>E8/C8-1</f>
        <v>-0.19290920638970888</v>
      </c>
      <c r="F9" s="245"/>
      <c r="G9" s="72"/>
      <c r="H9" s="245"/>
      <c r="I9" s="72"/>
      <c r="J9" s="303"/>
      <c r="K9" s="6"/>
      <c r="L9" s="73"/>
      <c r="M9" s="57"/>
    </row>
    <row r="10" spans="1:13" ht="15.75" customHeight="1">
      <c r="B10" s="8" t="s">
        <v>137</v>
      </c>
      <c r="C10" s="178">
        <f>Data!C9</f>
        <v>842386</v>
      </c>
      <c r="D10" s="246"/>
      <c r="E10" s="221">
        <f>E8*(1-E11)</f>
        <v>679881.98526619875</v>
      </c>
      <c r="F10" s="246"/>
      <c r="G10" s="264" t="str">
        <f>IF(G8="","",G8*(1-G11))</f>
        <v/>
      </c>
      <c r="H10" s="246"/>
      <c r="I10" s="264" t="str">
        <f>IF(I8="","",I8*(1-I11))</f>
        <v/>
      </c>
      <c r="J10" s="304"/>
      <c r="K10" s="6"/>
      <c r="L10" s="114"/>
      <c r="M10" s="1"/>
    </row>
    <row r="11" spans="1:13" ht="15.75" customHeight="1">
      <c r="B11" s="17" t="s">
        <v>46</v>
      </c>
      <c r="C11" s="183">
        <f>(C8-C10)/C8</f>
        <v>0.41589966398417966</v>
      </c>
      <c r="D11" s="183"/>
      <c r="E11" s="72">
        <f>C11</f>
        <v>0.41589966398417966</v>
      </c>
      <c r="F11" s="183"/>
      <c r="G11" s="72"/>
      <c r="H11" s="183"/>
      <c r="I11" s="72"/>
      <c r="J11" s="305"/>
      <c r="K11" s="6"/>
      <c r="L11" s="73"/>
    </row>
    <row r="12" spans="1:13" ht="15.75" customHeight="1">
      <c r="B12" s="5" t="s">
        <v>138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30"/>
      <c r="K12" s="6"/>
      <c r="L12" s="73"/>
    </row>
    <row r="13" spans="1:13" ht="15.75" customHeight="1">
      <c r="B13" s="17" t="s">
        <v>48</v>
      </c>
      <c r="C13" s="186">
        <f>C14/C8</f>
        <v>0.41535119408345894</v>
      </c>
      <c r="D13" s="186"/>
      <c r="E13" s="220">
        <v>0.51462759502620947</v>
      </c>
      <c r="F13" s="186"/>
      <c r="G13" s="65"/>
      <c r="H13" s="186"/>
      <c r="I13" s="65"/>
      <c r="J13" s="306"/>
      <c r="K13" s="6"/>
      <c r="L13" s="73"/>
    </row>
    <row r="14" spans="1:13" ht="15.75" customHeight="1">
      <c r="B14" s="8" t="s">
        <v>139</v>
      </c>
      <c r="C14" s="180">
        <f>435254+163763</f>
        <v>599017</v>
      </c>
      <c r="D14" s="247"/>
      <c r="E14" s="75">
        <v>599017</v>
      </c>
      <c r="F14" s="247"/>
      <c r="G14" s="75"/>
      <c r="H14" s="247"/>
      <c r="I14" s="75"/>
      <c r="J14" s="307"/>
      <c r="K14" s="6"/>
      <c r="L14" s="73"/>
    </row>
    <row r="15" spans="1:13" ht="15.75" customHeight="1">
      <c r="B15" s="17" t="s">
        <v>49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23"/>
      <c r="K15" s="6"/>
      <c r="L15" s="73"/>
      <c r="M15" s="57"/>
    </row>
    <row r="16" spans="1:13" ht="15.75" customHeight="1">
      <c r="B16" s="17" t="s">
        <v>140</v>
      </c>
      <c r="C16" s="185"/>
      <c r="D16" s="248"/>
      <c r="E16" s="14" t="str">
        <f>IF(ABS(C17+E17)=ABS(C17)+ABS(E17),IF(E17&lt;0,-1,1)*(E17-C17)/C17,"Turn")</f>
        <v>Turn</v>
      </c>
      <c r="F16" s="248"/>
      <c r="G16" s="14" t="str">
        <f>IF(G9="","",IF(ABS(E17+G17)=ABS(E17)+ABS(G17),IF(G17&lt;0,-1,1)*(G17-E17)/E17,"Turn"))</f>
        <v/>
      </c>
      <c r="H16" s="248"/>
      <c r="I16" s="14" t="str">
        <f>IF(I9="","",IF(ABS(G17+I17)=ABS(G17)+ABS(I17),IF(I17&lt;0,-1,1)*(I17-G17)/G17,"Turn"))</f>
        <v/>
      </c>
      <c r="J16" s="308"/>
      <c r="K16" s="6"/>
      <c r="L16" s="76"/>
      <c r="M16" s="77"/>
    </row>
    <row r="17" spans="2:13" ht="15.75" customHeight="1">
      <c r="B17" s="131" t="s">
        <v>232</v>
      </c>
      <c r="C17" s="295">
        <f>C12-C14</f>
        <v>791</v>
      </c>
      <c r="D17" s="296"/>
      <c r="E17" s="295">
        <f>E12-E14</f>
        <v>-114917.48526619852</v>
      </c>
      <c r="F17" s="296"/>
      <c r="G17" s="295" t="str">
        <f>IF(G9="","",G12-G14)</f>
        <v/>
      </c>
      <c r="H17" s="296"/>
      <c r="I17" s="295" t="str">
        <f>IF(I9="","",I12-I14)</f>
        <v/>
      </c>
      <c r="J17" s="309"/>
      <c r="K17" s="6"/>
      <c r="L17" s="78"/>
      <c r="M17" s="56"/>
    </row>
    <row r="18" spans="2:13" ht="15.75" customHeight="1">
      <c r="B18" s="291" t="s">
        <v>141</v>
      </c>
      <c r="C18" s="292">
        <v>0.25</v>
      </c>
      <c r="D18" s="293"/>
      <c r="E18" s="294">
        <f>IF(E17="","",C18)</f>
        <v>0.25</v>
      </c>
      <c r="F18" s="294"/>
      <c r="G18" s="294" t="str">
        <f>IF(G17="","",E18)</f>
        <v/>
      </c>
      <c r="H18" s="294"/>
      <c r="I18" s="294" t="str">
        <f>IF(I17="","",G18)</f>
        <v/>
      </c>
      <c r="J18" s="310"/>
      <c r="L18" s="73"/>
    </row>
    <row r="19" spans="2:13" ht="15.75" customHeight="1">
      <c r="B19" s="300" t="s">
        <v>284</v>
      </c>
      <c r="C19" s="248">
        <f>C20/C10</f>
        <v>7.0424959579100312E-4</v>
      </c>
      <c r="D19" s="302"/>
      <c r="E19" s="301">
        <f>E20/E10</f>
        <v>-0.16902563644366031</v>
      </c>
      <c r="F19" s="301"/>
      <c r="G19" s="301" t="str">
        <f>IF(G10="","",G20/G10)</f>
        <v/>
      </c>
      <c r="H19" s="301"/>
      <c r="I19" s="301" t="str">
        <f>IF(I10="","",I20/I10)</f>
        <v/>
      </c>
      <c r="J19" s="311"/>
    </row>
    <row r="20" spans="2:13" ht="15.75" customHeight="1">
      <c r="B20" s="297" t="s">
        <v>78</v>
      </c>
      <c r="C20" s="298">
        <f>IF(C17&lt;=0,C17,C17*(1-C18))</f>
        <v>593.25</v>
      </c>
      <c r="D20" s="298"/>
      <c r="E20" s="299">
        <f>IF(E17="","",IF(E17&lt;=0,E17,E17*(1-E18)))</f>
        <v>-114917.48526619852</v>
      </c>
      <c r="F20" s="298"/>
      <c r="G20" s="299" t="str">
        <f>IF(G17="","",IF(G17&lt;=0,G17,G17*(1-G18)))</f>
        <v/>
      </c>
      <c r="H20" s="298"/>
      <c r="I20" s="299" t="str">
        <f>IF(I17="","",IF(I17&lt;=0,I17,I17*(1-I18)))</f>
        <v/>
      </c>
      <c r="J20" s="312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1" type="noConversion"/>
  <conditionalFormatting sqref="E18:E20">
    <cfRule type="containsBlanks" dxfId="6" priority="2">
      <formula>LEN(TRIM(E18))=0</formula>
    </cfRule>
  </conditionalFormatting>
  <conditionalFormatting sqref="G20 I20">
    <cfRule type="containsBlanks" dxfId="5" priority="4">
      <formula>LEN(TRIM(G20))=0</formula>
    </cfRule>
  </conditionalFormatting>
  <conditionalFormatting sqref="G9:H13 H14 G15:H17">
    <cfRule type="containsBlanks" dxfId="4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C32" sqref="C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1</v>
      </c>
      <c r="H2" s="12"/>
      <c r="I2" s="12"/>
    </row>
    <row r="3" spans="1:10" ht="15.75" customHeight="1">
      <c r="B3" s="29" t="str">
        <f>"(Numbers in "&amp;Data!C4&amp;Dashboard!I11&amp;")"</f>
        <v>(Numbers in 1000CNY)</v>
      </c>
      <c r="C3" s="261">
        <f>Operation!C3</f>
        <v>44926</v>
      </c>
      <c r="D3" s="261">
        <f>Operation!E3</f>
        <v>45291</v>
      </c>
      <c r="E3" s="261" t="str">
        <f>Operation!G3</f>
        <v/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Operation!C20</f>
        <v>593.25</v>
      </c>
      <c r="D4" s="45">
        <f>Operation!E20</f>
        <v>-114917.48526619852</v>
      </c>
      <c r="E4" s="45" t="str">
        <f>Operation!G20</f>
        <v/>
      </c>
      <c r="F4" s="198" t="str">
        <f>Operation!I20</f>
        <v/>
      </c>
      <c r="G4" s="281">
        <f>IF(F3="",IF(E3="",1,2),3)</f>
        <v>1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-194.70836117353312</v>
      </c>
      <c r="E5" s="242" t="str">
        <f>IF(E4="","",E4/D4-1)</f>
        <v/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0.42808178207371606</v>
      </c>
      <c r="D6" s="220">
        <v>0.38619999999999999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253.95951721523204</v>
      </c>
      <c r="D7" s="286">
        <v>0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339.29048278476796</v>
      </c>
      <c r="D8" s="188">
        <f>D4-D7</f>
        <v>-114917.48526619852</v>
      </c>
      <c r="E8" s="188" t="str">
        <f>IF(E4="","",E4-E7)</f>
        <v/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2.5446848909893311E-4</v>
      </c>
      <c r="D9" s="283">
        <f>D8/(Common_Shares/Data!$C$4)</f>
        <v>-8.6188326317684943E-2</v>
      </c>
      <c r="E9" s="283" t="str">
        <f>IF(E8="","",E8/(Common_Shares/Data!$C$4))</f>
        <v/>
      </c>
      <c r="F9" s="283" t="str">
        <f>IF(F8="","",F8/(Common_Shares/Data!$C$4))</f>
        <v/>
      </c>
      <c r="G9" s="337">
        <f>IF(F4="",IF(E4="",D8,E8),F8)*Data!C$4/Dashboard!I5</f>
        <v>-8.618832631768493E-2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0.08</v>
      </c>
      <c r="E10" s="18" t="str">
        <f>IF(E4="","",D10)</f>
        <v/>
      </c>
      <c r="F10" s="18" t="str">
        <f>IF(F4="","",D10)</f>
        <v/>
      </c>
      <c r="G10" s="223">
        <f ca="1">Dashboard!C12</f>
        <v>0.08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1.08</v>
      </c>
      <c r="E11" s="219" t="str">
        <f>IF(E4="","",(1+D10)*(1+E10))</f>
        <v/>
      </c>
      <c r="F11" s="219" t="str">
        <f>IF(F4="","",(1+D10)*(1+E10)*(1+F10))</f>
        <v/>
      </c>
      <c r="G11" s="224">
        <f ca="1">IF(F4="",IF(E4="",D11,E11),F11)*(1+G10)</f>
        <v>1.1664000000000001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-7.9804005849708273E-2</v>
      </c>
      <c r="E12" s="193" t="str">
        <f>IF(E9="","",E9/E11)</f>
        <v/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1000CNY)</v>
      </c>
      <c r="E14" s="71" t="s">
        <v>213</v>
      </c>
    </row>
    <row r="15" spans="1:10" ht="15.75" customHeight="1">
      <c r="B15" s="58" t="s">
        <v>226</v>
      </c>
      <c r="C15" s="83">
        <f>Asset_Model!E59</f>
        <v>2286686.7000000002</v>
      </c>
      <c r="D15" s="213">
        <f>C15/(Dashboard!I5/Data!C4)</f>
        <v>1.7150192508074342</v>
      </c>
      <c r="E15" s="84" t="s">
        <v>224</v>
      </c>
      <c r="G15" s="134">
        <f>C15+C16+C17+C18</f>
        <v>2443164.2000000002</v>
      </c>
    </row>
    <row r="16" spans="1:10" ht="15.75" customHeight="1">
      <c r="B16" s="58" t="s">
        <v>230</v>
      </c>
      <c r="C16" s="83">
        <f>Asset_Model!E58</f>
        <v>180388.5</v>
      </c>
      <c r="D16" s="213">
        <f>C16/(Dashboard!I5/Data!C4)</f>
        <v>0.13529170835876941</v>
      </c>
      <c r="E16" s="84" t="s">
        <v>306</v>
      </c>
      <c r="G16" s="194">
        <f>(G15+MIN(D4,0))*Data!C$4/Dashboard!I5</f>
        <v>1.7461893386608818</v>
      </c>
    </row>
    <row r="17" spans="2:9" ht="15.75" customHeight="1">
      <c r="B17" s="58" t="s">
        <v>214</v>
      </c>
      <c r="C17" s="83">
        <f>-Asset_Model!D52</f>
        <v>-16614</v>
      </c>
      <c r="D17" s="213">
        <f>C17/(Dashboard!I5/Data!C4)</f>
        <v>-1.2460530702747653E-2</v>
      </c>
      <c r="E17" s="451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-7297</v>
      </c>
      <c r="D18" s="213">
        <f>C18/(Dashboard!I5/Data!C4)</f>
        <v>-5.4727634848892271E-3</v>
      </c>
      <c r="E18" s="451"/>
      <c r="F18" s="145">
        <f>D15+(MIN(D4,0)*Data!C$4/Dashboard!I5)</f>
        <v>1.6288309244897492</v>
      </c>
      <c r="G18" s="144">
        <f>SUM(D16:D18)</f>
        <v>0.11735841417113253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1000CNY)</v>
      </c>
      <c r="E20" s="452" t="s">
        <v>220</v>
      </c>
      <c r="F20" s="452"/>
      <c r="G20" s="94"/>
    </row>
    <row r="21" spans="2:9" ht="15.75" customHeight="1">
      <c r="B21" s="125" t="str">
        <f>"TV after Year "&amp;G4</f>
        <v>TV after Year 1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(CNY)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0.2</v>
      </c>
      <c r="D22" s="277">
        <v>5</v>
      </c>
      <c r="E22" s="202">
        <f>IF(G9&lt;0,G9,G9*D22/G11)</f>
        <v>-8.618832631768493E-2</v>
      </c>
      <c r="F22" s="342">
        <f>E22+$G$16</f>
        <v>1.6600010123431967</v>
      </c>
      <c r="G22" s="345">
        <f>ROUND(F22*Exchange_Rate,2)</f>
        <v>1.81</v>
      </c>
      <c r="I22" s="73"/>
    </row>
    <row r="23" spans="2:9" ht="15.75" customHeight="1" thickBot="1">
      <c r="B23" s="339" t="s">
        <v>279</v>
      </c>
      <c r="C23" s="340">
        <f>1/D23</f>
        <v>0.125</v>
      </c>
      <c r="D23" s="290">
        <v>8</v>
      </c>
      <c r="E23" s="341">
        <f>IF(G9&lt;0,G9,G9*D23/G11)</f>
        <v>-8.618832631768493E-2</v>
      </c>
      <c r="F23" s="343">
        <f>E23+$G$16</f>
        <v>1.6600010123431967</v>
      </c>
      <c r="G23" s="348">
        <f>ROUND(F23*Exchange_Rate,2)</f>
        <v>1.81</v>
      </c>
      <c r="I23" s="73"/>
    </row>
    <row r="24" spans="2:9" ht="15.75" customHeight="1" thickTop="1">
      <c r="C24" s="6"/>
      <c r="D24" s="6"/>
      <c r="E24" s="6"/>
      <c r="F24" s="346" t="s">
        <v>314</v>
      </c>
      <c r="G24" s="347">
        <f>MIN(G22,G23)+ABS(G22-G23)*'Qualitative Analysis'!$E$64</f>
        <v>1.81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316</v>
      </c>
      <c r="C26" s="449" t="s">
        <v>145</v>
      </c>
      <c r="D26" s="450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313</v>
      </c>
      <c r="C27" s="238">
        <f>MIN(G24,Asset_Model!D7)+ABS(G24-Asset_Model!D7)*'Qualitative Analysis'!$E$64</f>
        <v>1.6464258352315482</v>
      </c>
      <c r="D27" s="117" t="str">
        <f>Dashboard!J4</f>
        <v>HKD</v>
      </c>
      <c r="E27" s="118">
        <f>(C27-G16)/C9</f>
        <v>-392.04659006147989</v>
      </c>
      <c r="F27" s="155">
        <f>C27/(Data!C28*Exchange_Rate*Data!C4/Common_Shares)</f>
        <v>0.71250663767235278</v>
      </c>
      <c r="G27" s="86"/>
      <c r="H27" s="6"/>
      <c r="I27" s="73"/>
    </row>
    <row r="28" spans="2:9" ht="15.75" customHeight="1"/>
    <row r="29" spans="2:9" ht="15.75" customHeight="1">
      <c r="B29" s="351" t="s">
        <v>307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321</v>
      </c>
      <c r="C30" s="335">
        <f>Asset_Model!I3*Exchange_Rate*Data!C4/Common_Shares*0.9</f>
        <v>2.0742946315018207</v>
      </c>
      <c r="D30" s="334" t="str">
        <f>D27</f>
        <v>HKD</v>
      </c>
      <c r="E30" s="118">
        <f>(C30-G16)/C9</f>
        <v>1289.3749399100532</v>
      </c>
      <c r="F30" s="155">
        <f>C30/(Asset_Model!I3*Exchange_Rate*Data!C4/Common_Shares)</f>
        <v>0.90000000000000013</v>
      </c>
      <c r="I30" s="73"/>
    </row>
    <row r="31" spans="2:9" ht="15.75" customHeight="1">
      <c r="B31" s="352" t="s">
        <v>307</v>
      </c>
      <c r="C31" s="350">
        <f>MIN(C30,C27)+ABS(C30-C27)*'Qualitative Analysis'!E8</f>
        <v>1.9202618648445227</v>
      </c>
      <c r="D31" s="334" t="str">
        <f>D30</f>
        <v>HKD</v>
      </c>
      <c r="E31" s="118">
        <f>(C31-G16)/C9</f>
        <v>684.06318912030156</v>
      </c>
      <c r="F31" s="155">
        <f>C31/(Asset_Model!I3*Exchange_Rate*Data!C4/Common_Shares)</f>
        <v>0.83316788855052948</v>
      </c>
      <c r="I31" s="73"/>
    </row>
    <row r="32" spans="2:9" ht="15.75" customHeight="1">
      <c r="B32" s="333" t="s">
        <v>315</v>
      </c>
      <c r="C32" s="350">
        <f>MIN(MIN(G24,C27)+ABS(G24-C27)*'Qualitative Analysis'!E8,Asset_Model!D7)</f>
        <v>1.5174412675390871</v>
      </c>
      <c r="D32" s="334" t="str">
        <f>D30</f>
        <v>HKD</v>
      </c>
      <c r="E32" s="118">
        <f>(C32-G16)/C9</f>
        <v>-898.92493931875856</v>
      </c>
      <c r="F32" s="155">
        <f>C32/(Asset_Model!I3*Exchange_Rate*Data!C4/Common_Shares)</f>
        <v>0.65839110801554412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D37" sqref="D37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2.2000000000000002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2.56</v>
      </c>
      <c r="E8" s="96">
        <f>D8/4</f>
        <v>0.64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2</v>
      </c>
      <c r="E13" s="31" t="s">
        <v>147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1</v>
      </c>
      <c r="E19" s="31" t="s">
        <v>155</v>
      </c>
      <c r="F19" s="6"/>
      <c r="G19" s="274"/>
    </row>
    <row r="20" spans="2:7" ht="15" customHeight="1">
      <c r="B20" s="53" t="s">
        <v>160</v>
      </c>
      <c r="D20" s="98">
        <f t="shared" si="1"/>
        <v>1</v>
      </c>
      <c r="E20" s="31" t="s">
        <v>155</v>
      </c>
      <c r="F20" s="6"/>
      <c r="G20" s="274"/>
    </row>
    <row r="21" spans="2:7" ht="15" customHeight="1">
      <c r="B21" s="53" t="s">
        <v>161</v>
      </c>
      <c r="D21" s="98">
        <f t="shared" si="1"/>
        <v>0</v>
      </c>
      <c r="E21" s="31" t="s">
        <v>170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3</v>
      </c>
      <c r="E24" s="31" t="s">
        <v>148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1</v>
      </c>
      <c r="E31" s="31" t="s">
        <v>155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0.35</v>
      </c>
      <c r="E36" s="49" t="str">
        <f>IF(D36&gt;80%,"Very High",IF(D36&lt;=20%,"Very Low",IF(D36&lt;=40%,"Low",IF(D36&lt;=60%,"Medium","High"))))</f>
        <v>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2</v>
      </c>
      <c r="E37" s="31" t="s">
        <v>147</v>
      </c>
      <c r="F37" s="6"/>
      <c r="G37" s="274"/>
    </row>
    <row r="38" spans="2:7" ht="15" customHeight="1">
      <c r="B38" s="53" t="s">
        <v>269</v>
      </c>
      <c r="D38" s="98">
        <f t="shared" si="4"/>
        <v>2</v>
      </c>
      <c r="E38" s="31" t="s">
        <v>147</v>
      </c>
      <c r="F38" s="6"/>
      <c r="G38" s="274"/>
    </row>
    <row r="39" spans="2:7" ht="15" customHeight="1">
      <c r="B39" s="53" t="s">
        <v>270</v>
      </c>
      <c r="D39" s="98">
        <f t="shared" si="4"/>
        <v>1</v>
      </c>
      <c r="E39" s="31" t="s">
        <v>155</v>
      </c>
      <c r="F39" s="6"/>
      <c r="G39" s="274"/>
    </row>
    <row r="40" spans="2:7" ht="15" customHeight="1">
      <c r="B40" s="53" t="s">
        <v>271</v>
      </c>
      <c r="D40" s="98">
        <f t="shared" si="4"/>
        <v>2</v>
      </c>
      <c r="E40" s="31" t="s">
        <v>147</v>
      </c>
      <c r="F40" s="6"/>
      <c r="G40" s="274"/>
    </row>
    <row r="41" spans="2:7" ht="15" customHeight="1">
      <c r="B41" s="53" t="s">
        <v>272</v>
      </c>
      <c r="D41" s="98">
        <f t="shared" si="4"/>
        <v>0</v>
      </c>
      <c r="E41" s="31" t="s">
        <v>170</v>
      </c>
      <c r="G41" s="274"/>
    </row>
    <row r="42" spans="2:7" ht="15" customHeight="1">
      <c r="B42" s="1" t="s">
        <v>173</v>
      </c>
      <c r="D42" s="101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0</v>
      </c>
      <c r="E43" s="31" t="s">
        <v>170</v>
      </c>
      <c r="F43" s="6"/>
      <c r="G43" s="274"/>
    </row>
    <row r="44" spans="2:7" ht="15" customHeight="1">
      <c r="B44" s="53" t="s">
        <v>175</v>
      </c>
      <c r="D44" s="98">
        <f t="shared" si="5"/>
        <v>4</v>
      </c>
      <c r="E44" s="31" t="s">
        <v>157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0</v>
      </c>
      <c r="E46" s="31" t="s">
        <v>170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4</v>
      </c>
      <c r="E48" s="31" t="s">
        <v>157</v>
      </c>
      <c r="F48" s="6"/>
      <c r="G48" s="274"/>
    </row>
    <row r="49" spans="2:8" ht="15" customHeight="1">
      <c r="B49" s="1" t="s">
        <v>179</v>
      </c>
      <c r="D49" s="101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338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0.46353741496598633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1.7635374149659864</v>
      </c>
      <c r="E64" s="123">
        <f>AVERAGE(AVERAGE(D12:D16)/4,AVERAGE(D18:D22)/4,AVERAGE(D24:D28)/4,D62)</f>
        <v>0.44088435374149659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2023-06-23T04:20:15Z</dcterms:modified>
  <cp:category/>
  <cp:contentStatus/>
</cp:coreProperties>
</file>