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"/>
    </mc:Choice>
  </mc:AlternateContent>
  <xr:revisionPtr revIDLastSave="0" documentId="13_ncr:1_{BC651B03-8053-4A36-A3A4-7B883AA32E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E7" i="7"/>
  <c r="E6" i="7"/>
  <c r="E5" i="7"/>
  <c r="E4" i="7"/>
  <c r="E13" i="7"/>
  <c r="C13" i="7"/>
  <c r="C36" i="3"/>
  <c r="C17" i="3"/>
  <c r="C9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C12" i="7" s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E11" i="7"/>
  <c r="E16" i="7" s="1"/>
  <c r="G15" i="7" s="1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D5" i="4"/>
  <c r="G16" i="4"/>
  <c r="E18" i="5"/>
  <c r="D64" i="5"/>
  <c r="E7" i="5" s="1"/>
  <c r="D7" i="5" s="1"/>
  <c r="D8" i="5" s="1"/>
  <c r="E8" i="5" s="1"/>
  <c r="F41" i="1"/>
  <c r="D6" i="3" l="1"/>
  <c r="D7" i="3" s="1"/>
  <c r="D7" i="4"/>
  <c r="F18" i="4"/>
  <c r="D8" i="4"/>
  <c r="D9" i="4" s="1"/>
  <c r="D11" i="4"/>
  <c r="E8" i="4"/>
  <c r="E6" i="3"/>
  <c r="E17" i="4"/>
  <c r="F16" i="1"/>
  <c r="H16" i="1" s="1"/>
  <c r="E5" i="4"/>
  <c r="E10" i="4"/>
  <c r="F39" i="1"/>
  <c r="G9" i="4" l="1"/>
  <c r="D12" i="4"/>
  <c r="E11" i="4"/>
  <c r="G11" i="4" s="1"/>
  <c r="C30" i="4" s="1"/>
  <c r="H18" i="1"/>
  <c r="E9" i="4"/>
  <c r="F30" i="4" l="1"/>
  <c r="E30" i="4"/>
  <c r="E12" i="4"/>
  <c r="E22" i="4"/>
  <c r="F22" i="4" s="1"/>
  <c r="E23" i="4"/>
  <c r="F23" i="4" s="1"/>
  <c r="G23" i="4" s="1"/>
  <c r="G22" i="4" l="1"/>
  <c r="G24" i="4" l="1"/>
  <c r="C27" i="4" l="1"/>
  <c r="C31" i="4" s="1"/>
  <c r="I35" i="1" s="1"/>
  <c r="D18" i="1" l="1"/>
  <c r="D16" i="1"/>
  <c r="B17" i="1"/>
  <c r="D17" i="1" s="1"/>
  <c r="E45" i="1"/>
  <c r="F45" i="1"/>
  <c r="C32" i="4"/>
  <c r="E14" i="1"/>
  <c r="E27" i="4"/>
  <c r="F27" i="4"/>
  <c r="F31" i="4"/>
  <c r="E31" i="4"/>
  <c r="E46" i="1" l="1"/>
  <c r="E49" i="1" s="1"/>
  <c r="F46" i="1"/>
  <c r="F49" i="1" s="1"/>
  <c r="F48" i="1"/>
  <c r="F50" i="1"/>
  <c r="E50" i="1"/>
  <c r="E48" i="1"/>
  <c r="F32" i="4"/>
  <c r="E32" i="4"/>
  <c r="I36" i="1"/>
  <c r="H17" i="1"/>
  <c r="J17" i="1"/>
  <c r="F51" i="1" l="1"/>
  <c r="E51" i="1"/>
</calcChain>
</file>

<file path=xl/sharedStrings.xml><?xml version="1.0" encoding="utf-8"?>
<sst xmlns="http://schemas.openxmlformats.org/spreadsheetml/2006/main" count="413" uniqueCount="343">
  <si>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</si>
  <si>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</si>
  <si>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</si>
  <si>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</si>
  <si>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</si>
  <si>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</si>
  <si>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</si>
  <si>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</si>
  <si>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</si>
  <si>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</si>
  <si>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</si>
  <si>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</si>
  <si>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</si>
  <si>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</si>
  <si>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</si>
  <si>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</si>
  <si>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</si>
  <si>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</si>
  <si>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</si>
  <si>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</si>
  <si>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</si>
  <si>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</si>
  <si>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</si>
  <si>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</si>
  <si>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</si>
  <si>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</si>
  <si>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</si>
  <si>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</si>
  <si>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</si>
  <si>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</si>
  <si>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</si>
  <si>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</si>
  <si>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</si>
  <si>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</si>
  <si>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</si>
  <si>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</si>
  <si>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</si>
  <si>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</si>
  <si>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</si>
  <si>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</si>
  <si>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</si>
  <si>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</si>
  <si>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</si>
  <si>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</si>
  <si>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</si>
  <si>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</si>
  <si>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</si>
  <si>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</si>
  <si>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</si>
  <si>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</si>
  <si>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</si>
  <si>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</si>
  <si>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</si>
  <si>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</si>
  <si>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</si>
  <si>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</si>
  <si>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</si>
  <si>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</si>
  <si>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</si>
  <si>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</si>
  <si>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</si>
  <si>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</si>
  <si>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</si>
  <si>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</si>
  <si>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</si>
  <si>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</si>
  <si>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</si>
  <si>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</si>
  <si>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</si>
  <si>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</si>
  <si>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</si>
  <si>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</si>
  <si>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</si>
  <si>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</si>
  <si>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</si>
  <si>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</si>
  <si>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</si>
  <si>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</si>
  <si>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</si>
  <si>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</si>
  <si>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</si>
  <si>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</si>
  <si>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</si>
  <si>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</si>
  <si>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</si>
  <si>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</si>
  <si>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</si>
  <si>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</si>
  <si>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</si>
  <si>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</si>
  <si>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</si>
  <si>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</si>
  <si>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</si>
  <si>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</si>
  <si>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</si>
  <si>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</si>
  <si>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</si>
  <si>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</si>
  <si>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</si>
  <si>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</si>
  <si>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</si>
  <si>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</si>
  <si>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</si>
  <si>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</si>
  <si>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</si>
  <si>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</si>
  <si>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</si>
  <si>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</si>
  <si>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</si>
  <si>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</si>
  <si>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</si>
  <si>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</si>
  <si>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</si>
  <si>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</si>
  <si>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</si>
  <si>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</si>
  <si>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</si>
  <si>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</si>
  <si>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</si>
  <si>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</si>
  <si>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</si>
  <si>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</si>
  <si>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</si>
  <si>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</si>
  <si>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</si>
  <si>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</si>
  <si>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</si>
  <si>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</si>
  <si>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</si>
  <si>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</si>
  <si>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</si>
  <si>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</si>
  <si>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</si>
  <si>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</si>
  <si>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</si>
  <si>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</si>
  <si>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</si>
  <si>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</si>
  <si>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</si>
  <si>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</si>
  <si>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</si>
  <si>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</si>
  <si>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</si>
  <si>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</si>
  <si>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</si>
  <si>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</si>
  <si>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</si>
  <si>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</si>
  <si>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</si>
  <si>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</si>
  <si>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</si>
  <si>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</si>
  <si>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</si>
  <si>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</si>
  <si>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</si>
  <si>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</si>
  <si>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</si>
  <si>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</si>
  <si>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</si>
  <si>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</si>
  <si>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</si>
  <si>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</si>
  <si>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</si>
  <si>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</si>
  <si>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</si>
  <si>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</si>
  <si>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</si>
  <si>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</si>
  <si>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</si>
  <si>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</si>
  <si>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</si>
  <si>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</si>
  <si>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</si>
  <si>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</si>
  <si>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</si>
  <si>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</si>
  <si>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</si>
  <si>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</si>
  <si>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</si>
  <si>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</si>
  <si>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</si>
  <si>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</si>
  <si>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</si>
  <si>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</si>
  <si>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</si>
  <si>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</si>
  <si>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</si>
  <si>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</si>
  <si>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</si>
  <si>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</si>
  <si>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</si>
  <si>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</si>
  <si>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</si>
  <si>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</si>
  <si>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</si>
  <si>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</si>
  <si>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</si>
  <si>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</si>
  <si>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</si>
  <si>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</si>
  <si>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</si>
  <si>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</si>
  <si>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</si>
  <si>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</si>
  <si>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</si>
  <si>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</si>
  <si>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</si>
  <si>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</si>
  <si>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</si>
  <si>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</si>
  <si>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</si>
  <si>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</si>
  <si>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</si>
  <si>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</si>
  <si>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</si>
  <si>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</si>
  <si>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</si>
  <si>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</si>
  <si>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</si>
  <si>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</si>
  <si>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</si>
  <si>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</si>
  <si>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</si>
  <si>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</si>
  <si>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</si>
  <si>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</si>
  <si>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</si>
  <si>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</si>
  <si>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</si>
  <si>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</si>
  <si>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</si>
  <si>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</si>
  <si>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</si>
  <si>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</si>
  <si>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</si>
  <si>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</si>
  <si>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</si>
  <si>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</si>
  <si>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</si>
  <si>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</si>
  <si>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</si>
  <si>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</si>
  <si>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</si>
  <si>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</si>
  <si>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</si>
  <si>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</si>
  <si>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</si>
  <si>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</si>
  <si>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</si>
  <si>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</si>
  <si>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</si>
  <si>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</si>
  <si>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</si>
  <si>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</si>
  <si>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</si>
  <si>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</si>
  <si>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</si>
  <si>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</si>
  <si>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</si>
  <si>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</si>
  <si>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</si>
  <si>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</si>
  <si>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</si>
  <si>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</si>
  <si>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</si>
  <si>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</si>
  <si>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</si>
  <si>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</si>
  <si>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</si>
  <si>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</si>
  <si>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</si>
  <si>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</si>
  <si>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</si>
  <si>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</si>
  <si>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</si>
  <si>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</si>
  <si>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</si>
  <si>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</si>
  <si>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</si>
  <si>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</si>
  <si>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</si>
  <si>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</si>
  <si>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</si>
  <si>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</si>
  <si>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</si>
  <si>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</si>
  <si>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</si>
  <si>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</si>
  <si>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</si>
  <si>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</si>
  <si>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</si>
  <si>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</si>
  <si>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</si>
  <si>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</si>
  <si>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</si>
  <si>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</si>
  <si>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</si>
  <si>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</si>
  <si>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</si>
  <si>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</si>
  <si>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</si>
  <si>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</si>
  <si>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</si>
  <si>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</si>
  <si>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</si>
  <si>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</si>
  <si>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</si>
  <si>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</si>
  <si>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</si>
  <si>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</si>
  <si>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</si>
  <si>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</si>
  <si>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</si>
  <si>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</si>
  <si>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</si>
  <si>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</si>
  <si>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</si>
  <si>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</si>
  <si>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</si>
  <si>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</si>
  <si>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</si>
  <si>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</si>
  <si>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</si>
  <si>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</si>
  <si>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</si>
  <si>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</si>
  <si>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</si>
  <si>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</si>
  <si>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6993.HK</t>
  </si>
  <si>
    <t>BLUE MOON GROUP</t>
  </si>
  <si>
    <t>Stalwarts</t>
  </si>
  <si>
    <t>从洗衣到全域拓展，家清护理产品</t>
  </si>
  <si>
    <t>1. 品牌</t>
  </si>
  <si>
    <t>1. 中国市场未来仍有增长空间
2. 扩展到其他产品种类</t>
  </si>
  <si>
    <t>1. 洗衣液、洗手液外产品力还有待验证</t>
  </si>
  <si>
    <t>衣物清潔護理產品</t>
  </si>
  <si>
    <t>個人清潔護理產品</t>
  </si>
  <si>
    <t>家居清潔護理產品</t>
  </si>
  <si>
    <t>1. 增长乏力
2. 毛利率轻微下降，NOPAT下降严重
3. PE太高了</t>
  </si>
  <si>
    <t>25x Terminal Year FCF</t>
  </si>
  <si>
    <t>Consumer Staple</t>
  </si>
  <si>
    <t>Product R&amp;D</t>
  </si>
  <si>
    <t>Consumer Staples, 15.1y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</si>
</sst>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2" zoomScaleNormal="100" workbookViewId="0">
      <selection activeCell="C36" sqref="C36:D36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6993.HK : BLUE MOON GROUP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328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329</v>
      </c>
      <c r="D4" s="375"/>
      <c r="E4" s="6"/>
      <c r="G4" s="5" t="s">
        <v>5</v>
      </c>
      <c r="I4" s="32">
        <v>3.8</v>
      </c>
      <c r="J4" s="33" t="s">
        <v>6</v>
      </c>
      <c r="K4" s="149"/>
    </row>
    <row r="5" spans="1:12" ht="15.75" customHeight="1">
      <c r="B5" s="5" t="s">
        <v>7</v>
      </c>
      <c r="C5" s="376">
        <v>45100</v>
      </c>
      <c r="D5" s="375"/>
      <c r="E5" s="120" t="str">
        <f ca="1">IF(C5+30&gt;=TODAY(),"Patience Premium","")</f>
        <v>Patience Premium</v>
      </c>
      <c r="G5" s="5" t="s">
        <v>8</v>
      </c>
      <c r="I5" s="386">
        <v>5862479872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22277.423513599999</v>
      </c>
      <c r="J6" s="389"/>
      <c r="K6" s="148"/>
    </row>
    <row r="7" spans="1:12" ht="15.75" customHeight="1">
      <c r="B7" s="136" t="s">
        <v>10</v>
      </c>
      <c r="C7" s="142">
        <f>(Data!C39*Exchange_Rate)/I4</f>
        <v>3.4707065632072931E-2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36.438767470876691</v>
      </c>
      <c r="J9" s="48">
        <f>IF(I9="NNI","NNI",1/I9)</f>
        <v>2.7443299249878296E-2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2.0119087991994782</v>
      </c>
      <c r="J10" s="127">
        <f>IF(Asset_Model!D60/'FCFF Model'!C4&lt;0,"Negative EV",Asset_Model!D60/'FCFF Model'!C4)</f>
        <v>23.567806108170707</v>
      </c>
    </row>
    <row r="11" spans="1:12" ht="15.75" customHeight="1" thickBot="1">
      <c r="B11" s="288" t="s">
        <v>256</v>
      </c>
      <c r="C11" s="403">
        <f ca="1">C12-D10</f>
        <v>6.7000000000000004E-2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9.6000000000000002E-2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2.1784319024989975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3.8</v>
      </c>
      <c r="C16" s="420">
        <v>0.1</v>
      </c>
      <c r="D16" s="156">
        <f ca="1">I35/B16-(1+C16)</f>
        <v>-0.31068913738637871</v>
      </c>
      <c r="E16" s="393" t="s">
        <v>23</v>
      </c>
      <c r="F16" s="390">
        <f>('FCFF Model'!G16)*Exchange_Rate</f>
        <v>1.2798019206572382</v>
      </c>
      <c r="G16" s="393" t="s">
        <v>24</v>
      </c>
      <c r="H16" s="355">
        <f>B16-$F$16</f>
        <v>2.5201980793427614</v>
      </c>
      <c r="I16" s="411">
        <v>0.42</v>
      </c>
      <c r="J16" s="158">
        <f>I16/B16</f>
        <v>0.11052631578947368</v>
      </c>
    </row>
    <row r="17" spans="1:10" ht="15.75" customHeight="1">
      <c r="B17" s="269">
        <f ca="1">I35/(1+C16)</f>
        <v>2.7267102526652374</v>
      </c>
      <c r="C17" s="421"/>
      <c r="D17" s="268">
        <f ca="1">I35/B17-(1+C16)</f>
        <v>0</v>
      </c>
      <c r="E17" s="394"/>
      <c r="F17" s="391"/>
      <c r="G17" s="394"/>
      <c r="H17" s="356">
        <f ca="1">B17-$F$16</f>
        <v>1.4469083320079992</v>
      </c>
      <c r="I17" s="412"/>
      <c r="J17" s="159">
        <f ca="1">I16/B17</f>
        <v>0.15403176761794501</v>
      </c>
    </row>
    <row r="18" spans="1:10" ht="15.75" customHeight="1">
      <c r="B18" s="323">
        <f>C35</f>
        <v>2.2999999999999998</v>
      </c>
      <c r="C18" s="422"/>
      <c r="D18" s="157">
        <f ca="1">I35/B18-(1+C16)</f>
        <v>0.20407881649207016</v>
      </c>
      <c r="E18" s="395"/>
      <c r="F18" s="392"/>
      <c r="G18" s="395"/>
      <c r="H18" s="357">
        <f>B18-$F$16</f>
        <v>1.0201980793427616</v>
      </c>
      <c r="I18" s="413"/>
      <c r="J18" s="160">
        <f>I16/B18</f>
        <v>0.18260869565217391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330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331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332</v>
      </c>
      <c r="D22" s="398"/>
      <c r="E22" s="398"/>
      <c r="F22" s="398"/>
      <c r="G22" s="397" t="s">
        <v>338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333</v>
      </c>
      <c r="D23" s="383"/>
      <c r="E23" s="383"/>
      <c r="F23" s="383"/>
      <c r="G23" s="382" t="s">
        <v>334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327</v>
      </c>
      <c r="I25" s="30"/>
      <c r="J25" s="359">
        <v>0.25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3.4848484848484847E-3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3.4848484848484847E-3</v>
      </c>
      <c r="J27" s="414"/>
    </row>
    <row r="28" spans="1:10" ht="15.75" customHeight="1">
      <c r="B28" s="23" t="s">
        <v>34</v>
      </c>
      <c r="C28" s="436">
        <v>1000</v>
      </c>
      <c r="D28" s="398"/>
      <c r="E28" s="436">
        <v>0</v>
      </c>
      <c r="F28" s="398"/>
      <c r="G28" s="386"/>
      <c r="H28" s="387"/>
      <c r="I28" s="426">
        <f>C28+E28+G28</f>
        <v>1000</v>
      </c>
      <c r="J28" s="426"/>
    </row>
    <row r="29" spans="1:10" ht="15.75" customHeight="1">
      <c r="B29" s="23" t="s">
        <v>35</v>
      </c>
      <c r="C29" s="437">
        <v>2.2999999999999998</v>
      </c>
      <c r="D29" s="398"/>
      <c r="E29" s="437">
        <v>2.2999999999999998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13483.703705599999</v>
      </c>
      <c r="D30" s="432"/>
      <c r="E30" s="424">
        <f>E29*$I$5/1000000</f>
        <v>13483.703705599999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2300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2300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2.2999999999999998</v>
      </c>
      <c r="F32" s="409"/>
      <c r="G32" s="115"/>
      <c r="H32" s="115"/>
      <c r="I32" s="427">
        <f>IF(I31=0,"",I31/I28)</f>
        <v>2.2999999999999998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13483.703705599999</v>
      </c>
      <c r="F33" s="432"/>
      <c r="G33" s="116"/>
      <c r="H33" s="116"/>
      <c r="I33" s="424">
        <f>IF(I32="","",I32*$I$5/1000000)</f>
        <v>13483.703705599999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2.2999999999999998</v>
      </c>
      <c r="D35" s="365"/>
      <c r="G35" s="366" t="s">
        <v>316</v>
      </c>
      <c r="H35" s="367"/>
      <c r="I35" s="362">
        <f ca="1">'FCFF Model'!C31</f>
        <v>2.9993812779317612</v>
      </c>
      <c r="J35" s="363"/>
    </row>
    <row r="36" spans="2:11" ht="15.75" customHeight="1">
      <c r="B36" s="143" t="s">
        <v>317</v>
      </c>
      <c r="C36" s="364">
        <f>E32</f>
        <v>2.2999999999999998</v>
      </c>
      <c r="D36" s="365"/>
      <c r="G36" s="361" t="s">
        <v>314</v>
      </c>
      <c r="H36" s="361"/>
      <c r="I36" s="362">
        <f ca="1">'FCFF Model'!C32</f>
        <v>1.456106201877293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0.75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0.63346938775510209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0.30407881649207025</v>
      </c>
      <c r="F45" s="332">
        <f ca="1">I35/C36-1</f>
        <v>0.30407881649207025</v>
      </c>
    </row>
    <row r="46" spans="2:11" ht="15.75" customHeight="1">
      <c r="B46" s="3" t="s">
        <v>300</v>
      </c>
      <c r="E46" s="329">
        <f ca="1">'FCFF Model'!C32/C29-1</f>
        <v>-0.36691034700987257</v>
      </c>
      <c r="F46" s="332">
        <f ca="1">'FCFF Model'!C32/C36-1</f>
        <v>-0.36691034700987257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0.76995693074467664</v>
      </c>
      <c r="F48" s="329">
        <f ca="1">IF(F45&lt;=0,0,AVERAGE(F39:F41,1-F42,F45/J25))</f>
        <v>0.76995693074467664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0.8287550868220358</v>
      </c>
      <c r="F49" s="328">
        <f ca="1">IF(F46&gt;=0,100,F45/ABS(F46))</f>
        <v>0.8287550868220358</v>
      </c>
      <c r="G49" s="73"/>
    </row>
    <row r="50" spans="2:9" ht="15.75" customHeight="1">
      <c r="B50" s="3" t="s">
        <v>326</v>
      </c>
      <c r="E50" s="358">
        <f ca="1">MAX(J25*2/E45,1)</f>
        <v>1.6443105303030505</v>
      </c>
      <c r="F50" s="358">
        <f ca="1">MAX(J25*2/F45,1)</f>
        <v>1.6443105303030505</v>
      </c>
      <c r="G50" s="330"/>
      <c r="H50" s="84"/>
      <c r="I50" s="84"/>
    </row>
    <row r="51" spans="2:9" ht="15.75" customHeight="1">
      <c r="B51" s="3" t="s">
        <v>325</v>
      </c>
      <c r="E51" s="327">
        <f ca="1">MIN(MAX(E48-ABS((1-E48)/E49),0)/E50,H51)</f>
        <v>0.29944481976604265</v>
      </c>
      <c r="F51" s="327">
        <f ca="1">MIN(MAX(F48-ABS((1-F48)/F49),0)/F50,H51)</f>
        <v>0.29944481976604265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5" sqref="C35:E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611366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835864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7946733</v>
      </c>
      <c r="D7" s="35">
        <v>7597481</v>
      </c>
      <c r="E7" s="35">
        <v>6996348</v>
      </c>
      <c r="F7" s="35">
        <v>7049905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4.5969446978544548E-2</v>
      </c>
      <c r="D8" s="14">
        <f t="shared" si="1"/>
        <v>8.5920969054140928E-2</v>
      </c>
      <c r="E8" s="14">
        <f t="shared" si="1"/>
        <v>-7.5968399574178891E-3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3351292</v>
      </c>
      <c r="D9" s="35">
        <v>3158683</v>
      </c>
      <c r="E9" s="35">
        <v>2482592</v>
      </c>
      <c r="F9" s="35">
        <v>2526895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0.57828053364823007</v>
      </c>
      <c r="D10" s="14">
        <f t="shared" si="2"/>
        <v>0.5842460152253095</v>
      </c>
      <c r="E10" s="14">
        <f t="shared" si="2"/>
        <v>0.64515887431557151</v>
      </c>
      <c r="F10" s="14">
        <f t="shared" si="2"/>
        <v>0.64157034740184438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3759577</v>
      </c>
      <c r="D11" s="35">
        <v>3370268</v>
      </c>
      <c r="E11" s="35">
        <v>2838992</v>
      </c>
      <c r="F11" s="35">
        <v>2372741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0.47309718345891327</v>
      </c>
      <c r="D12" s="14">
        <f t="shared" si="3"/>
        <v>0.44360334695144343</v>
      </c>
      <c r="E12" s="14">
        <f t="shared" si="3"/>
        <v>0.40578198797429743</v>
      </c>
      <c r="F12" s="14">
        <f t="shared" si="3"/>
        <v>0.33656354234560604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0.10518335018931679</v>
      </c>
      <c r="D13" s="14">
        <f t="shared" si="4"/>
        <v>0.14064266827386604</v>
      </c>
      <c r="E13" s="14">
        <f t="shared" si="4"/>
        <v>0.23937688634127405</v>
      </c>
      <c r="F13" s="14">
        <f t="shared" si="4"/>
        <v>0.30500680505623834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835864</v>
      </c>
      <c r="D14" s="27">
        <f t="shared" si="5"/>
        <v>1068530</v>
      </c>
      <c r="E14" s="27">
        <f t="shared" si="5"/>
        <v>1674764</v>
      </c>
      <c r="F14" s="27">
        <f t="shared" si="5"/>
        <v>2150269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-0.21774400344398379</v>
      </c>
      <c r="D15" s="14">
        <f t="shared" ref="D15:M15" si="6">IF(E14="","",IF(ABS(D14+E14)=ABS(D14)+ABS(E14),IF(D14&lt;0,-1,1)*(D14-E14)/E14,"Turn"))</f>
        <v>-0.36198174787611864</v>
      </c>
      <c r="E15" s="14">
        <f t="shared" si="6"/>
        <v>-0.22113744838436494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835864</v>
      </c>
      <c r="D16" s="140">
        <f>IF(D14="","",D14*(1-Operation!$D$17))</f>
        <v>1068530</v>
      </c>
      <c r="E16" s="140">
        <f>IF(E14="","",E14*(1-Operation!$D$17))</f>
        <v>1674764</v>
      </c>
      <c r="F16" s="140">
        <f>IF(F14="","",F14*(1-Operation!$D$17))</f>
        <v>2150269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0.10518335018931679</v>
      </c>
      <c r="D17" s="126">
        <f t="shared" si="7"/>
        <v>0.14064266827386604</v>
      </c>
      <c r="E17" s="126">
        <f t="shared" si="7"/>
        <v>0.23937688634127405</v>
      </c>
      <c r="F17" s="126">
        <f t="shared" si="7"/>
        <v>0.30500680505623834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9584</v>
      </c>
      <c r="D18" s="141">
        <v>20739</v>
      </c>
      <c r="E18" s="141">
        <v>7258</v>
      </c>
      <c r="F18" s="141">
        <v>32188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611366</v>
      </c>
      <c r="D19" s="35">
        <v>1014415</v>
      </c>
      <c r="E19" s="35">
        <v>1309411</v>
      </c>
      <c r="F19" s="35">
        <v>1079617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-0.39732160900617597</v>
      </c>
      <c r="D20" s="14">
        <f t="shared" ref="D20:M20" si="8">IF(E19="","",IF(ABS(D19+E19)=ABS(D19)+ABS(E19),IF(D19&lt;0,-1,1)*(D19-E19)/E19,"Turn"))</f>
        <v>-0.22528908035750425</v>
      </c>
      <c r="E20" s="14">
        <f t="shared" si="8"/>
        <v>0.21284770432477443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10374825</v>
      </c>
      <c r="D21" s="35">
        <v>12185909</v>
      </c>
      <c r="E21" s="35">
        <v>13749598</v>
      </c>
      <c r="F21" s="35">
        <v>3130707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1426346</v>
      </c>
      <c r="D22" s="35">
        <v>1903888</v>
      </c>
      <c r="E22" s="35">
        <v>3955274</v>
      </c>
      <c r="F22" s="35">
        <v>1775851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72781</v>
      </c>
      <c r="D23" s="35">
        <v>161291</v>
      </c>
      <c r="E23" s="35">
        <v>32135</v>
      </c>
      <c r="F23" s="35">
        <v>232854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72781</v>
      </c>
      <c r="D24" s="137">
        <v>61291</v>
      </c>
      <c r="E24" s="137">
        <v>32135</v>
      </c>
      <c r="F24" s="137">
        <v>26325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126779</v>
      </c>
      <c r="D25" s="35">
        <v>75087</v>
      </c>
      <c r="E25" s="35">
        <v>25609</v>
      </c>
      <c r="F25" s="35">
        <v>241220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126779</v>
      </c>
      <c r="D26" s="137">
        <v>75087</v>
      </c>
      <c r="E26" s="137">
        <v>25609</v>
      </c>
      <c r="F26" s="137">
        <v>33824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199560</v>
      </c>
      <c r="D27" s="27">
        <f t="shared" si="9"/>
        <v>236378</v>
      </c>
      <c r="E27" s="27">
        <f t="shared" si="9"/>
        <v>57744</v>
      </c>
      <c r="F27" s="27">
        <f t="shared" si="9"/>
        <v>474074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11072780</v>
      </c>
      <c r="D28" s="35">
        <v>12346422</v>
      </c>
      <c r="E28" s="35">
        <v>11679421</v>
      </c>
      <c r="F28" s="35">
        <v>2863079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11072780</v>
      </c>
      <c r="D29" s="137">
        <v>12346422</v>
      </c>
      <c r="E29" s="137">
        <v>11679421</v>
      </c>
      <c r="F29" s="137">
        <v>2863079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1777018</v>
      </c>
      <c r="D30" s="35">
        <v>1734785</v>
      </c>
      <c r="E30" s="35">
        <v>1488440</v>
      </c>
      <c r="F30" s="35">
        <v>1330121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7702373</v>
      </c>
      <c r="D31" s="35">
        <v>9233656</v>
      </c>
      <c r="E31" s="35">
        <v>10921095</v>
      </c>
      <c r="F31" s="35">
        <v>690064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2.3766219588096462E-2</v>
      </c>
      <c r="D32" s="14">
        <f t="shared" si="10"/>
        <v>0.14200318771490414</v>
      </c>
      <c r="E32" s="14">
        <f t="shared" si="10"/>
        <v>0.10636572518878826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29895.9712</v>
      </c>
      <c r="D33" s="236">
        <f>IF(E7="","",(D7-E7)*Asset_Model!$D$65)</f>
        <v>51456.984799999998</v>
      </c>
      <c r="E33" s="236">
        <f>IF(F7="","",(E7-F7)*Asset_Model!$D$65)</f>
        <v>-4584.4791999999998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72128.9712</v>
      </c>
      <c r="D34" s="140">
        <f>IF(E7="","",D30-E30+D33+IF($C$49="Yes",D51,0))</f>
        <v>297801.98479999998</v>
      </c>
      <c r="E34" s="140">
        <f t="shared" ref="E34:F34" si="11">IF(F7="","",E30-F30+E33+IF($C$49="Yes",E51,0))</f>
        <v>153734.5208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8.6292711733009203E-2</v>
      </c>
      <c r="D35" s="227">
        <f t="shared" si="19"/>
        <v>0.27870250231626625</v>
      </c>
      <c r="E35" s="227">
        <f t="shared" si="19"/>
        <v>9.1794736930098805E-2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773184</v>
      </c>
      <c r="D37" s="162">
        <v>2704284</v>
      </c>
      <c r="E37" s="162">
        <v>84925</v>
      </c>
      <c r="F37" s="162">
        <v>37000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0.13188684940187714</v>
      </c>
      <c r="D39" s="167">
        <f t="shared" si="20"/>
        <v>0.46128670102835279</v>
      </c>
      <c r="E39" s="167">
        <f t="shared" si="20"/>
        <v>1.4486190461073195E-2</v>
      </c>
      <c r="F39" s="167">
        <f t="shared" si="20"/>
        <v>6.3113223086218211E-3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1.1449608860647461E-2</v>
      </c>
      <c r="D42" s="48">
        <f t="shared" ref="D42:M42" si="22">IF(D29="","",D25/D29)</f>
        <v>6.0816809922745229E-3</v>
      </c>
      <c r="E42" s="48">
        <f t="shared" si="22"/>
        <v>2.1926600642274991E-3</v>
      </c>
      <c r="F42" s="48">
        <f t="shared" si="22"/>
        <v>8.4251953927921647E-2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1.8022574276739898E-2</v>
      </c>
      <c r="D43" s="14">
        <f t="shared" si="23"/>
        <v>1.9145465787577972E-2</v>
      </c>
      <c r="E43" s="14">
        <f t="shared" si="23"/>
        <v>4.944080704000652E-3</v>
      </c>
      <c r="F43" s="14">
        <f t="shared" si="23"/>
        <v>0.16558187880949146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4.1885347765083187</v>
      </c>
      <c r="D44" s="50">
        <f t="shared" si="24"/>
        <v>4.5204291431520698</v>
      </c>
      <c r="E44" s="50">
        <f t="shared" si="24"/>
        <v>29.003255749515102</v>
      </c>
      <c r="F44" s="50">
        <f t="shared" si="24"/>
        <v>4.5357243805819341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1.1465980111597102E-2</v>
      </c>
      <c r="D45" s="14">
        <f t="shared" si="25"/>
        <v>1.9408907564598094E-2</v>
      </c>
      <c r="E45" s="14">
        <f t="shared" si="25"/>
        <v>4.3337449336145273E-3</v>
      </c>
      <c r="F45" s="14">
        <f t="shared" si="25"/>
        <v>1.4969289888846465E-2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7.2737084830749339</v>
      </c>
      <c r="D46" s="51">
        <f t="shared" si="26"/>
        <v>6.4005387921978603</v>
      </c>
      <c r="E46" s="51">
        <f t="shared" si="26"/>
        <v>3.4762694063672961</v>
      </c>
      <c r="F46" s="51">
        <f t="shared" si="26"/>
        <v>1.7629333767303677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C17" sqref="C1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11072780</v>
      </c>
      <c r="E3" s="153" t="str">
        <f>IF((C46-I46)=D3,"", "Error!")</f>
        <v/>
      </c>
      <c r="F3" s="6"/>
      <c r="G3" s="6"/>
      <c r="H3" s="258" t="s">
        <v>244</v>
      </c>
      <c r="I3" s="259">
        <v>11072780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1.8887536062827441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8536393.2999999989</v>
      </c>
      <c r="E6" s="14">
        <f>1-D6/D3</f>
        <v>0.22906503154582691</v>
      </c>
      <c r="F6" s="6"/>
      <c r="G6" s="6"/>
      <c r="H6" s="3" t="s">
        <v>287</v>
      </c>
      <c r="I6" s="69">
        <f>C26/I26</f>
        <v>7.2737084830749339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1.456106201877293</v>
      </c>
      <c r="E7" s="49" t="str">
        <f>Dashboard!J4</f>
        <v>HKD</v>
      </c>
      <c r="H7" s="3" t="s">
        <v>288</v>
      </c>
      <c r="I7" s="69">
        <f>C25/I26</f>
        <v>7.0823804322373389</v>
      </c>
      <c r="J7" s="6"/>
      <c r="K7" s="114"/>
    </row>
    <row r="8" spans="1:11" ht="15" customHeight="1">
      <c r="D8" s="6"/>
      <c r="H8" s="3" t="s">
        <v>289</v>
      </c>
      <c r="I8" s="69">
        <f>C24/I26</f>
        <v>5.4000733342400791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7702373</v>
      </c>
      <c r="D11" s="65">
        <v>1</v>
      </c>
      <c r="E11" s="27">
        <f t="shared" ref="E11:E21" si="0">C11*D11</f>
        <v>7702373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72781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1353565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2050546+349006</f>
        <v>2399552</v>
      </c>
      <c r="D17" s="65">
        <v>0.6</v>
      </c>
      <c r="E17" s="27">
        <f t="shared" si="0"/>
        <v>1439731.2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272900</v>
      </c>
      <c r="D18" s="65">
        <v>0.2</v>
      </c>
      <c r="E18" s="27">
        <f t="shared" si="0"/>
        <v>54580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7702373</v>
      </c>
      <c r="D24" s="68">
        <f>IF(E24=0,0,E24/C24)</f>
        <v>1</v>
      </c>
      <c r="E24" s="27">
        <f>SUM(E11:E14)</f>
        <v>7702373</v>
      </c>
      <c r="F24" s="6"/>
      <c r="G24" s="6"/>
      <c r="H24" s="66" t="s">
        <v>290</v>
      </c>
      <c r="I24" s="69">
        <f>E24/($I$26-I15)</f>
        <v>105.82944724584713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10101925</v>
      </c>
      <c r="D25" s="68">
        <f>IF(E25=0,0,E25/C25)</f>
        <v>0.90498634666165101</v>
      </c>
      <c r="E25" s="27">
        <f>E24+SUM(E15:E17)</f>
        <v>9142104.1999999993</v>
      </c>
      <c r="F25" s="6"/>
      <c r="G25" s="6"/>
      <c r="H25" s="66" t="s">
        <v>294</v>
      </c>
      <c r="I25" s="69">
        <f>E25/$I$26</f>
        <v>6.409457593038435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10374825</v>
      </c>
      <c r="D26" s="14">
        <f t="shared" ref="D26" si="2">E26/C26</f>
        <v>0.88644234481063533</v>
      </c>
      <c r="E26" s="27">
        <f>SUM(E11:E22)</f>
        <v>9196684.1999999993</v>
      </c>
      <c r="H26" s="5" t="s">
        <v>56</v>
      </c>
      <c r="I26" s="64">
        <v>1426346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126779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15113</v>
      </c>
      <c r="D31" s="65">
        <v>0.5</v>
      </c>
      <c r="E31" s="27">
        <f t="shared" si="3"/>
        <v>7556.5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103820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1487737+514062+100736</f>
        <v>2102535</v>
      </c>
      <c r="D36" s="65">
        <v>0.4</v>
      </c>
      <c r="E36" s="27">
        <f t="shared" si="3"/>
        <v>841014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140556</v>
      </c>
      <c r="D38" s="65">
        <v>0.4</v>
      </c>
      <c r="E38" s="27">
        <f t="shared" si="3"/>
        <v>56222.400000000001</v>
      </c>
      <c r="F38" s="6"/>
      <c r="G38" s="6"/>
    </row>
    <row r="39" spans="2:10" ht="15" customHeight="1">
      <c r="B39" s="5" t="s">
        <v>120</v>
      </c>
      <c r="C39" s="64">
        <v>96696</v>
      </c>
      <c r="D39" s="65">
        <v>0.95</v>
      </c>
      <c r="E39" s="27">
        <f t="shared" si="3"/>
        <v>91861.2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2354900</v>
      </c>
      <c r="D42" s="14">
        <f>E42/C42</f>
        <v>0.42322565714043059</v>
      </c>
      <c r="E42" s="27">
        <f>SUM(E28:E40)</f>
        <v>996654.1</v>
      </c>
      <c r="F42" s="6"/>
      <c r="G42" s="6"/>
      <c r="H42" s="5" t="s">
        <v>123</v>
      </c>
      <c r="I42" s="64">
        <v>230599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7702373</v>
      </c>
      <c r="D44" s="68">
        <f>IF(E44=0,0,E44/C44)</f>
        <v>1</v>
      </c>
      <c r="E44" s="27">
        <f>E24+SUM(E28:E29)</f>
        <v>7702373</v>
      </c>
      <c r="F44" s="6"/>
      <c r="G44" s="6"/>
      <c r="H44" s="66" t="s">
        <v>291</v>
      </c>
      <c r="I44" s="69">
        <f>E44/(I46-I15-I32)</f>
        <v>38.596777911405091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10117038</v>
      </c>
      <c r="D45" s="68">
        <f>IF(E45=0,0,E45/C45)</f>
        <v>0.90438137130650287</v>
      </c>
      <c r="E45" s="27">
        <f>E44+(E25-E24)+SUM(E30:E33)</f>
        <v>9149660.6999999993</v>
      </c>
      <c r="F45" s="6"/>
      <c r="G45" s="6"/>
      <c r="H45" s="66" t="s">
        <v>295</v>
      </c>
      <c r="I45" s="69">
        <f>E45/$I$46</f>
        <v>5.5220062826466778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12729725</v>
      </c>
      <c r="D46" s="14">
        <f>E46/C46</f>
        <v>0.80075086461019374</v>
      </c>
      <c r="E46" s="27">
        <f>E26+E42</f>
        <v>10193338.299999999</v>
      </c>
      <c r="F46" s="6"/>
      <c r="G46" s="6"/>
      <c r="H46" s="5" t="s">
        <v>292</v>
      </c>
      <c r="I46" s="152">
        <f>I26+I42</f>
        <v>1656945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199560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199560</v>
      </c>
      <c r="E53" s="434"/>
      <c r="F53" s="5"/>
      <c r="G53" s="5"/>
      <c r="H53" s="3" t="s">
        <v>293</v>
      </c>
      <c r="I53" s="14">
        <f>D53/I3</f>
        <v>1.8022574276739898E-2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0</v>
      </c>
      <c r="D58" s="126">
        <f>IF(E58=0,0,E58/C58)</f>
        <v>0</v>
      </c>
      <c r="E58" s="215">
        <f>E14+E15+(E19*G19)+(E20*G20)+E29+E30+(E31*G31)+(E33*G33)+(E34*G34)+(E35*G35)</f>
        <v>0</v>
      </c>
      <c r="H58" s="6"/>
    </row>
    <row r="59" spans="2:9" ht="14">
      <c r="B59" s="53" t="s">
        <v>89</v>
      </c>
      <c r="C59" s="207">
        <f>C11+C12+C28</f>
        <v>7702373</v>
      </c>
      <c r="D59" s="208">
        <f>IF(E59=0,0,E59/C59)</f>
        <v>1</v>
      </c>
      <c r="E59" s="209">
        <f>E11+E12+E28</f>
        <v>7702373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14774610.513599999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0.15680733201933422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335</v>
      </c>
      <c r="C4" s="273">
        <v>6821397</v>
      </c>
      <c r="D4" s="244">
        <f>C4/$C$7</f>
        <v>0.85839010823693207</v>
      </c>
      <c r="E4" s="273">
        <f>C4*1.057</f>
        <v>7210216.6289999997</v>
      </c>
      <c r="F4" s="244">
        <f>E4/E$7</f>
        <v>0.86313678352931256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336</v>
      </c>
      <c r="C5" s="273">
        <v>619015</v>
      </c>
      <c r="D5" s="244">
        <f>C5/$C$7</f>
        <v>7.7895532667323797E-2</v>
      </c>
      <c r="E5" s="273">
        <f>C5*1.029</f>
        <v>636966.43499999994</v>
      </c>
      <c r="F5" s="244">
        <f>E5/E$7</f>
        <v>7.6251406609718506E-2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337</v>
      </c>
      <c r="C6" s="273">
        <v>506321</v>
      </c>
      <c r="D6" s="244">
        <f>C6/$C$7</f>
        <v>6.3714359095744119E-2</v>
      </c>
      <c r="E6" s="273">
        <f>C6</f>
        <v>506321</v>
      </c>
      <c r="F6" s="244">
        <f>E6/E$7</f>
        <v>6.0611809860969028E-2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7946733</v>
      </c>
      <c r="D7" s="243"/>
      <c r="E7" s="313">
        <f>SUM(E4:E6)</f>
        <v>8353504.0639999993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5.1187206616857495E-2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3351292</v>
      </c>
      <c r="D9" s="246"/>
      <c r="E9" s="221">
        <f>E7*(1-E10)</f>
        <v>3522835.2760374211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0.57828053364823007</v>
      </c>
      <c r="D10" s="183"/>
      <c r="E10" s="72">
        <f>C10</f>
        <v>0.57828053364823007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4595441</v>
      </c>
      <c r="D11" s="27"/>
      <c r="E11" s="27">
        <f>E7-E9</f>
        <v>4830668.7879625782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0.47309718345891322</v>
      </c>
      <c r="D12" s="186"/>
      <c r="E12" s="220">
        <v>0.51462759502620947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2650965+1108612</f>
        <v>3759577</v>
      </c>
      <c r="D13" s="247"/>
      <c r="E13" s="75">
        <f>C13*1.05</f>
        <v>3947555.85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0.10518335018931679</v>
      </c>
      <c r="D14" s="18"/>
      <c r="E14" s="18">
        <f>E16/E7</f>
        <v>0.10571766425162994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5.6527064166632543E-2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835864</v>
      </c>
      <c r="D16" s="296"/>
      <c r="E16" s="295">
        <f>E11-E13</f>
        <v>883112.93796257814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0.18706158699391159</v>
      </c>
      <c r="D18" s="302"/>
      <c r="E18" s="301">
        <f>E19/E9</f>
        <v>0.18801182898819649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626898</v>
      </c>
      <c r="D19" s="298"/>
      <c r="E19" s="299">
        <f>IF(E16="","",IF(E16&lt;=0,E16,E16*(1-E17)))</f>
        <v>662334.70347193361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7" zoomScaleNormal="100" zoomScalePageLayoutView="80" workbookViewId="0">
      <selection activeCell="B43" sqref="B4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626898</v>
      </c>
      <c r="D4" s="45">
        <f>Operation!E19</f>
        <v>662334.70347193361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5.6527064166632446E-2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0.15229999999999999</v>
      </c>
      <c r="D6" s="220">
        <v>0.15229999999999999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95476.565399999992</v>
      </c>
      <c r="D7" s="286">
        <f>D4*D6</f>
        <v>100873.57533877548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531421.43460000004</v>
      </c>
      <c r="D8" s="188">
        <f>D4-D7</f>
        <v>561461.12813315808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9.064789068839979E-2</v>
      </c>
      <c r="D9" s="283">
        <f>D8/(Common_Shares/Data!$C$4)</f>
        <v>9.5771949821912852E-2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9.5771949821912852E-2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9.6000000000000002E-2</v>
      </c>
      <c r="E10" s="18" t="str">
        <f>IF(E4="","",D10)</f>
        <v/>
      </c>
      <c r="F10" s="18" t="str">
        <f>IF(F4="","",D10)</f>
        <v/>
      </c>
      <c r="G10" s="223">
        <f ca="1">Dashboard!C12</f>
        <v>9.6000000000000002E-2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1.0960000000000001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1.2012160000000003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8.7383165895905876E-2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7702373</v>
      </c>
      <c r="D15" s="213">
        <f>C15/(Dashboard!I5/Data!C4)</f>
        <v>1.3138421228169292</v>
      </c>
      <c r="E15" s="84" t="s">
        <v>224</v>
      </c>
      <c r="G15" s="134">
        <f>C15+C16+C17+C18</f>
        <v>7502813</v>
      </c>
    </row>
    <row r="16" spans="1:10" ht="15.75" customHeight="1">
      <c r="B16" s="58" t="s">
        <v>230</v>
      </c>
      <c r="C16" s="83">
        <f>Asset_Model!E58</f>
        <v>0</v>
      </c>
      <c r="D16" s="213">
        <f>C16/(Dashboard!I5/Data!C4)</f>
        <v>0</v>
      </c>
      <c r="E16" s="84" t="s">
        <v>305</v>
      </c>
      <c r="G16" s="194">
        <f>(G15+MIN(D4,0))*Data!C$4/Dashboard!I5</f>
        <v>1.2798019206572382</v>
      </c>
    </row>
    <row r="17" spans="2:9" ht="15.75" customHeight="1">
      <c r="B17" s="58" t="s">
        <v>214</v>
      </c>
      <c r="C17" s="83">
        <f>-Asset_Model!D52</f>
        <v>-199560</v>
      </c>
      <c r="D17" s="213">
        <f>C17/(Dashboard!I5/Data!C4)</f>
        <v>-3.4040202159691099E-2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1.3138421228169292</v>
      </c>
      <c r="G18" s="144">
        <f>SUM(D16:D18)</f>
        <v>-3.4040202159691099E-2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7.1428571428571425E-2</v>
      </c>
      <c r="D22" s="277">
        <v>14</v>
      </c>
      <c r="E22" s="202">
        <f ca="1">IF(G9&lt;0,G9,G9*D22/G11)</f>
        <v>1.1162083234878486</v>
      </c>
      <c r="F22" s="342">
        <f ca="1">E22+$G$16</f>
        <v>2.3960102441450868</v>
      </c>
      <c r="G22" s="345">
        <f ca="1">ROUND(F22*Exchange_Rate,2)</f>
        <v>2.4</v>
      </c>
      <c r="I22" s="73"/>
    </row>
    <row r="23" spans="2:9" ht="15.75" customHeight="1" thickBot="1">
      <c r="B23" s="339" t="s">
        <v>279</v>
      </c>
      <c r="C23" s="340">
        <f>1/D23</f>
        <v>5.5555555555555552E-2</v>
      </c>
      <c r="D23" s="290">
        <v>18</v>
      </c>
      <c r="E23" s="341">
        <f ca="1">IF(G9&lt;0,G9,G9*D23/G11)</f>
        <v>1.4351249873415197</v>
      </c>
      <c r="F23" s="343">
        <f ca="1">E23+$G$16</f>
        <v>2.7149269079987581</v>
      </c>
      <c r="G23" s="348">
        <f ca="1">ROUND(F23*Exchange_Rate,2)</f>
        <v>2.71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2.5963755102040817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Analysis'!$E$64</f>
        <v>2.1784319024989975</v>
      </c>
      <c r="D27" s="117" t="str">
        <f>Dashboard!J4</f>
        <v>HKD</v>
      </c>
      <c r="E27" s="118">
        <f ca="1">(C27-G16)/C9</f>
        <v>9.9134130426794034</v>
      </c>
      <c r="F27" s="155">
        <f ca="1">C27/(Data!C28*Exchange_Rate*Data!C4/Common_Shares)</f>
        <v>1.153370082393314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G9*25/G11+G16</f>
        <v>3.2730310697426823</v>
      </c>
      <c r="D30" s="334" t="str">
        <f>D27</f>
        <v>HKD</v>
      </c>
      <c r="E30" s="118">
        <f ca="1">(C30-G16)/C9</f>
        <v>21.98869862220101</v>
      </c>
      <c r="F30" s="155">
        <f ca="1">C30/(Asset_Model!I3*Exchange_Rate*Data!C4/Common_Shares)</f>
        <v>1.7329052655969959</v>
      </c>
      <c r="I30" s="73" t="s">
        <v>339</v>
      </c>
    </row>
    <row r="31" spans="2:9" ht="15.75" customHeight="1">
      <c r="B31" s="352" t="s">
        <v>306</v>
      </c>
      <c r="C31" s="350">
        <f ca="1">MIN(C30,C27)+ABS(C30-C27)*'Qualitative Analysis'!E8</f>
        <v>2.9993812779317612</v>
      </c>
      <c r="D31" s="334" t="str">
        <f>D30</f>
        <v>HKD</v>
      </c>
      <c r="E31" s="118">
        <f ca="1">(C31-G16)/C9</f>
        <v>18.969877227320609</v>
      </c>
      <c r="F31" s="155">
        <f ca="1">C31/(Asset_Model!I3*Exchange_Rate*Data!C4/Common_Shares)</f>
        <v>1.5880214697960753</v>
      </c>
      <c r="I31" s="73"/>
    </row>
    <row r="32" spans="2:9" ht="15.75" customHeight="1">
      <c r="B32" s="333" t="s">
        <v>314</v>
      </c>
      <c r="C32" s="350">
        <f ca="1">MIN(MIN(G24,C27)+ABS(G24-C27)*'Qualitative Analysis'!E8,Asset_Model!D7)</f>
        <v>1.456106201877293</v>
      </c>
      <c r="D32" s="334" t="str">
        <f>D30</f>
        <v>HKD</v>
      </c>
      <c r="E32" s="118">
        <f ca="1">(C32-G16)/C9</f>
        <v>1.9449352862064608</v>
      </c>
      <c r="F32" s="155">
        <f ca="1">C32/(Asset_Model!I3*Exchange_Rate*Data!C4/Common_Shares)</f>
        <v>0.77093496845417309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3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4</v>
      </c>
      <c r="E3" s="31" t="s">
        <v>157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258</v>
      </c>
      <c r="C5" s="94"/>
      <c r="D5" s="92">
        <f>AVERAGE(D12:D16)</f>
        <v>2.4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3</v>
      </c>
      <c r="E7" s="99" t="str">
        <f>IF(D64&gt;=3.5,"Strongly agree",IF(D64&gt;=2.5,"agree",IF(D64&gt;=1.5,"unclear",IF(D64&gt;=0.5,"disagree","Strongly disagree"))))</f>
        <v>agree</v>
      </c>
      <c r="G7" s="78"/>
    </row>
    <row r="8" spans="1:7" ht="14">
      <c r="B8" s="95" t="s">
        <v>149</v>
      </c>
      <c r="C8" s="94"/>
      <c r="D8" s="92">
        <f>AVERAGE(D3:D7)</f>
        <v>3</v>
      </c>
      <c r="E8" s="96">
        <f>D8/4</f>
        <v>0.75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2</v>
      </c>
      <c r="E12" s="31" t="s">
        <v>147</v>
      </c>
      <c r="F12" s="6"/>
      <c r="G12" s="274" t="s">
        <v>340</v>
      </c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3</v>
      </c>
      <c r="E14" s="31" t="s">
        <v>148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3</v>
      </c>
      <c r="E19" s="31" t="s">
        <v>148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 t="s">
        <v>341</v>
      </c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0.35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0.41666666666666669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3</v>
      </c>
      <c r="E48" s="31" t="s">
        <v>148</v>
      </c>
      <c r="F48" s="6"/>
      <c r="G48" s="274"/>
    </row>
    <row r="49" spans="2:8" ht="15" customHeight="1">
      <c r="B49" s="1" t="s">
        <v>179</v>
      </c>
      <c r="D49" s="101">
        <f>SUM(D50:D54)/(5*4)</f>
        <v>0.39727891156462586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1.9455782312925169</v>
      </c>
      <c r="E54" s="31" t="s">
        <v>342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2</v>
      </c>
      <c r="E56" s="31" t="s">
        <v>147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0.63387755102040821</v>
      </c>
      <c r="E62" s="49" t="str">
        <f>IF(D62&gt;80%,"Very Low",IF(D62&lt;=20%,"Very High",IF(D62&lt;=40%,"High",IF(D62&lt;=60%,"Medium","Low"))))</f>
        <v>Low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2.5338775510204083</v>
      </c>
      <c r="E64" s="123">
        <f>AVERAGE(AVERAGE(D12:D16)/4,AVERAGE(D18:D22)/4,AVERAGE(D24:D28)/4,D62)</f>
        <v>0.63346938775510209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2023-06-23T10:40:18Z</dcterms:modified>
  <cp:category/>
  <cp:contentStatus/>
</cp:coreProperties>
</file>