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5D67B5D6-46B1-CF4F-8376-7A04C9334E20}" xr6:coauthVersionLast="47" xr6:coauthVersionMax="47" xr10:uidLastSave="{00000000-0000-0000-0000-000000000000}"/>
  <bookViews>
    <workbookView xWindow="2940" yWindow="2940" windowWidth="16200" windowHeight="930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21" i="7" l="1"/>
  <c r="H21" i="7" s="1"/>
  <c r="I21" i="7" s="1"/>
  <c r="D68" i="3"/>
  <c r="E33" i="2"/>
  <c r="D33" i="2"/>
  <c r="C33" i="2"/>
  <c r="G13" i="7"/>
  <c r="G9" i="7"/>
  <c r="F9" i="2"/>
  <c r="E9" i="2"/>
  <c r="D9" i="2"/>
  <c r="D11" i="2"/>
  <c r="C9" i="2"/>
  <c r="C11" i="2"/>
  <c r="C38" i="3"/>
  <c r="C14" i="3"/>
  <c r="C17" i="3"/>
  <c r="F35" i="2" l="1"/>
  <c r="G35" i="2"/>
  <c r="H35" i="2"/>
  <c r="I35" i="2"/>
  <c r="J35" i="2"/>
  <c r="K35" i="2"/>
  <c r="L35" i="2"/>
  <c r="M35" i="2"/>
  <c r="F9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9" i="7"/>
  <c r="D9" i="7"/>
  <c r="E9" i="7"/>
  <c r="C7" i="7"/>
  <c r="F7" i="7"/>
  <c r="G7" i="7" s="1"/>
  <c r="E7" i="7"/>
  <c r="D7" i="7"/>
  <c r="C13" i="7"/>
  <c r="D13" i="7"/>
  <c r="E13" i="7"/>
  <c r="F13" i="7"/>
  <c r="H13" i="7" s="1"/>
  <c r="I15" i="3"/>
  <c r="C37" i="1"/>
  <c r="B18" i="1" s="1"/>
  <c r="J20" i="1"/>
  <c r="F42" i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G10" i="7" l="1"/>
  <c r="H7" i="7"/>
  <c r="I13" i="7"/>
  <c r="H12" i="7"/>
  <c r="M37" i="2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0" i="7"/>
  <c r="E12" i="7"/>
  <c r="D12" i="7"/>
  <c r="C12" i="7"/>
  <c r="E10" i="7"/>
  <c r="C11" i="7"/>
  <c r="C16" i="7" s="1"/>
  <c r="C14" i="7" s="1"/>
  <c r="D8" i="7"/>
  <c r="E11" i="7"/>
  <c r="E16" i="7" s="1"/>
  <c r="E14" i="7" s="1"/>
  <c r="E8" i="7"/>
  <c r="D10" i="7"/>
  <c r="D11" i="7"/>
  <c r="D16" i="7" s="1"/>
  <c r="B6" i="4"/>
  <c r="B9" i="4"/>
  <c r="J27" i="1"/>
  <c r="C31" i="4"/>
  <c r="C35" i="4"/>
  <c r="G27" i="4"/>
  <c r="I7" i="7" l="1"/>
  <c r="H8" i="7"/>
  <c r="D14" i="7"/>
  <c r="D15" i="7"/>
  <c r="E15" i="7"/>
  <c r="G8" i="7"/>
  <c r="G20" i="7" s="1"/>
  <c r="I12" i="7" l="1"/>
  <c r="I20" i="7"/>
  <c r="B16" i="1"/>
  <c r="H20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C45" i="4" s="1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8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0" i="7"/>
  <c r="I7" i="3"/>
  <c r="F12" i="7"/>
  <c r="G12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1" i="7"/>
  <c r="F16" i="7" s="1"/>
  <c r="D55" i="3"/>
  <c r="C30" i="4" s="1"/>
  <c r="D30" i="4" s="1"/>
  <c r="E30" i="4" s="1"/>
  <c r="F30" i="4" s="1"/>
  <c r="E62" i="3"/>
  <c r="C15" i="4" s="1"/>
  <c r="D15" i="4" s="1"/>
  <c r="F47" i="2"/>
  <c r="C13" i="2"/>
  <c r="F10" i="7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I9" i="7" l="1"/>
  <c r="I11" i="7" s="1"/>
  <c r="I16" i="7" s="1"/>
  <c r="I14" i="7" s="1"/>
  <c r="G11" i="7"/>
  <c r="F23" i="7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4" i="7"/>
  <c r="F15" i="7"/>
  <c r="C38" i="2"/>
  <c r="E55" i="2"/>
  <c r="C17" i="4"/>
  <c r="D17" i="4" s="1"/>
  <c r="C32" i="4"/>
  <c r="G12" i="2"/>
  <c r="D46" i="4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19" i="7"/>
  <c r="F18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C3" i="7"/>
  <c r="F24" i="7"/>
  <c r="C4" i="4"/>
  <c r="F25" i="7"/>
  <c r="C55" i="2"/>
  <c r="G16" i="7"/>
  <c r="D44" i="3"/>
  <c r="D45" i="3"/>
  <c r="G15" i="4"/>
  <c r="J27" i="3"/>
  <c r="D25" i="3"/>
  <c r="C6" i="4" l="1"/>
  <c r="D6" i="3"/>
  <c r="D7" i="3" s="1"/>
  <c r="G18" i="4" s="1"/>
  <c r="G15" i="7"/>
  <c r="G14" i="7"/>
  <c r="G23" i="7" s="1"/>
  <c r="C8" i="4"/>
  <c r="G17" i="7"/>
  <c r="J47" i="3"/>
  <c r="J28" i="3" s="1"/>
  <c r="D31" i="4" l="1"/>
  <c r="D32" i="4" s="1"/>
  <c r="G19" i="7"/>
  <c r="G18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5" i="7"/>
  <c r="D8" i="4"/>
  <c r="D28" i="4" s="1"/>
  <c r="E6" i="3"/>
  <c r="E17" i="4" l="1"/>
  <c r="D33" i="4"/>
  <c r="D34" i="4" s="1"/>
  <c r="D9" i="4"/>
  <c r="H9" i="7"/>
  <c r="H3" i="7"/>
  <c r="E3" i="4" l="1"/>
  <c r="E27" i="4" s="1"/>
  <c r="G45" i="4"/>
  <c r="F45" i="4"/>
  <c r="E45" i="4"/>
  <c r="H11" i="7"/>
  <c r="H16" i="7" s="1"/>
  <c r="I15" i="7" l="1"/>
  <c r="I3" i="7" s="1"/>
  <c r="E2" i="7" s="1"/>
  <c r="H17" i="7"/>
  <c r="H15" i="7"/>
  <c r="H14" i="7"/>
  <c r="H23" i="7" s="1"/>
  <c r="D10" i="4" l="1"/>
  <c r="F3" i="4"/>
  <c r="G4" i="4" s="1"/>
  <c r="B21" i="4" s="1"/>
  <c r="G2" i="4" s="1"/>
  <c r="G26" i="4" s="1"/>
  <c r="E31" i="4"/>
  <c r="I17" i="7"/>
  <c r="H19" i="7"/>
  <c r="H18" i="7" s="1"/>
  <c r="D35" i="4" l="1"/>
  <c r="D36" i="4" s="1"/>
  <c r="D37" i="4" s="1"/>
  <c r="D11" i="4"/>
  <c r="F27" i="4"/>
  <c r="E4" i="4"/>
  <c r="E10" i="4" s="1"/>
  <c r="E11" i="4" s="1"/>
  <c r="E7" i="4"/>
  <c r="F31" i="4"/>
  <c r="I19" i="7"/>
  <c r="E6" i="4" l="1"/>
  <c r="I18" i="7"/>
  <c r="F4" i="4"/>
  <c r="D12" i="4"/>
  <c r="D38" i="4"/>
  <c r="D39" i="4" s="1"/>
  <c r="E5" i="4"/>
  <c r="H25" i="7"/>
  <c r="E8" i="4"/>
  <c r="E28" i="4" s="1"/>
  <c r="E32" i="4" s="1"/>
  <c r="F5" i="4" l="1"/>
  <c r="F10" i="4"/>
  <c r="E33" i="4"/>
  <c r="E34" i="4" s="1"/>
  <c r="E35" i="4"/>
  <c r="E38" i="4"/>
  <c r="E9" i="4"/>
  <c r="E12" i="4" s="1"/>
  <c r="F11" i="4" l="1"/>
  <c r="F12" i="4" s="1"/>
  <c r="F35" i="4"/>
  <c r="F36" i="4" s="1"/>
  <c r="F37" i="4" s="1"/>
  <c r="F38" i="4" l="1"/>
  <c r="F39" i="4" s="1"/>
  <c r="E36" i="4" l="1"/>
  <c r="E37" i="4" l="1"/>
  <c r="E39" i="4" s="1"/>
  <c r="J18" i="1" l="1"/>
  <c r="H18" i="1"/>
  <c r="I23" i="7" l="1"/>
  <c r="I25" i="7" l="1"/>
  <c r="F7" i="4"/>
  <c r="F6" i="4" l="1"/>
  <c r="F8" i="4"/>
  <c r="F28" i="4" l="1"/>
  <c r="F32" i="4" s="1"/>
  <c r="F33" i="4" s="1"/>
  <c r="F34" i="4" s="1"/>
  <c r="F9" i="4"/>
  <c r="G11" i="4" s="1"/>
  <c r="G9" i="4"/>
  <c r="E22" i="4" l="1"/>
  <c r="F22" i="4" s="1"/>
  <c r="G22" i="4" s="1"/>
  <c r="E23" i="4"/>
  <c r="F23" i="4" s="1"/>
  <c r="G23" i="4" s="1"/>
  <c r="G38" i="4"/>
  <c r="G34" i="4"/>
  <c r="G37" i="4" s="1"/>
  <c r="G39" i="4" l="1"/>
  <c r="G41" i="4" s="1"/>
  <c r="G24" i="4"/>
  <c r="C44" i="4" l="1"/>
  <c r="C47" i="4" s="1"/>
  <c r="F47" i="4" s="1"/>
  <c r="E14" i="1"/>
  <c r="F44" i="4" l="1"/>
  <c r="E44" i="4"/>
  <c r="C46" i="4"/>
  <c r="G46" i="4" s="1"/>
  <c r="G44" i="4"/>
  <c r="G47" i="4"/>
  <c r="E48" i="1"/>
  <c r="F48" i="1"/>
  <c r="I38" i="1"/>
  <c r="E47" i="4"/>
  <c r="E46" i="4" l="1"/>
  <c r="F46" i="4"/>
  <c r="I37" i="1"/>
  <c r="D16" i="1" s="1"/>
  <c r="B17" i="1"/>
  <c r="D17" i="1" s="1"/>
  <c r="D18" i="1"/>
  <c r="F47" i="1"/>
  <c r="E47" i="1"/>
  <c r="F52" i="1" l="1"/>
  <c r="F50" i="1"/>
  <c r="F51" i="1"/>
  <c r="E52" i="1"/>
  <c r="E50" i="1"/>
  <c r="E51" i="1"/>
  <c r="E37" i="1"/>
  <c r="H17" i="1"/>
  <c r="J17" i="1"/>
  <c r="F53" i="1" l="1"/>
  <c r="E53" i="1"/>
</calcChain>
</file>

<file path=xl/sharedStrings.xml><?xml version="1.0" encoding="utf-8"?>
<sst xmlns="http://schemas.openxmlformats.org/spreadsheetml/2006/main" count="476" uniqueCount="408">
  <si>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</si>
  <si>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</si>
  <si>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</si>
  <si>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</si>
  <si>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</si>
  <si>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</si>
  <si>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</si>
  <si>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</si>
  <si>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</si>
  <si>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</si>
  <si>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</si>
  <si>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</si>
  <si>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</si>
  <si>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</si>
  <si>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</si>
  <si>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</si>
  <si>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</si>
  <si>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</si>
  <si>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</si>
  <si>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</si>
  <si>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</si>
  <si>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</si>
  <si>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</si>
  <si>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</si>
  <si>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</si>
  <si>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</si>
  <si>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</si>
  <si>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</si>
  <si>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</si>
  <si>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</si>
  <si>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</si>
  <si>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</si>
  <si>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</si>
  <si>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</si>
  <si>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</si>
  <si>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</si>
  <si>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</si>
  <si>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</si>
  <si>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</si>
  <si>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</si>
  <si>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</si>
  <si>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</si>
  <si>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</si>
  <si>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</si>
  <si>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</si>
  <si>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</si>
  <si>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</si>
  <si>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</si>
  <si>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</si>
  <si>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</si>
  <si>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</si>
  <si>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</si>
  <si>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</si>
  <si>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</si>
  <si>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</si>
  <si>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</si>
  <si>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</si>
  <si>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</si>
  <si>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</si>
  <si>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</si>
  <si>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</si>
  <si>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</si>
  <si>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</si>
  <si>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</si>
  <si>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</si>
  <si>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</si>
  <si>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</si>
  <si>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</si>
  <si>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</si>
  <si>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</si>
  <si>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</si>
  <si>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</si>
  <si>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</si>
  <si>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</si>
  <si>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</si>
  <si>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</si>
  <si>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</si>
  <si>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</si>
  <si>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</si>
  <si>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</si>
  <si>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</si>
  <si>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</si>
  <si>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</si>
  <si>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</si>
  <si>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</si>
  <si>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</si>
  <si>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</si>
  <si>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</si>
  <si>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</si>
  <si>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</si>
  <si>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</si>
  <si>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</si>
  <si>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</si>
  <si>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</si>
  <si>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</si>
  <si>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</si>
  <si>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</si>
  <si>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</si>
  <si>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</si>
  <si>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</si>
  <si>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</si>
  <si>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</si>
  <si>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</si>
  <si>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</si>
  <si>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</si>
  <si>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</si>
  <si>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</si>
  <si>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</si>
  <si>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</si>
  <si>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</si>
  <si>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</si>
  <si>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</si>
  <si>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</si>
  <si>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</si>
  <si>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</si>
  <si>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</si>
  <si>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</si>
  <si>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</si>
  <si>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</si>
  <si>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</si>
  <si>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</si>
  <si>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</si>
  <si>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</si>
  <si>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</si>
  <si>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</si>
  <si>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</si>
  <si>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</si>
  <si>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</si>
  <si>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</si>
  <si>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</si>
  <si>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</si>
  <si>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</si>
  <si>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</si>
  <si>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</si>
  <si>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</si>
  <si>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</si>
  <si>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</si>
  <si>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</si>
  <si>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</si>
  <si>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</si>
  <si>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</si>
  <si>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</si>
  <si>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</si>
  <si>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</si>
  <si>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</si>
  <si>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</si>
  <si>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</si>
  <si>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</si>
  <si>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</si>
  <si>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</si>
  <si>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</si>
  <si>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</si>
  <si>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</si>
  <si>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</si>
  <si>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</si>
  <si>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</si>
  <si>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</si>
  <si>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</si>
  <si>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</si>
  <si>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</si>
  <si>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</si>
  <si>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</si>
  <si>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</si>
  <si>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</si>
  <si>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</si>
  <si>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</si>
  <si>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</si>
  <si>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</si>
  <si>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</si>
  <si>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</si>
  <si>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</si>
  <si>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</si>
  <si>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</si>
  <si>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</si>
  <si>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</si>
  <si>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</si>
  <si>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</si>
  <si>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</si>
  <si>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</si>
  <si>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</si>
  <si>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</si>
  <si>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</si>
  <si>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</si>
  <si>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</si>
  <si>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</si>
  <si>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</si>
  <si>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</si>
  <si>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</si>
  <si>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</si>
  <si>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</si>
  <si>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</si>
  <si>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</si>
  <si>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</si>
  <si>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</si>
  <si>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</si>
  <si>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</si>
  <si>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</si>
  <si>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</si>
  <si>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</si>
  <si>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</si>
  <si>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</si>
  <si>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</si>
  <si>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</si>
  <si>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</si>
  <si>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</si>
  <si>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</si>
  <si>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</si>
  <si>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</si>
  <si>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</si>
  <si>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</si>
  <si>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</si>
  <si>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</si>
  <si>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</si>
  <si>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</si>
  <si>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</si>
  <si>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</si>
  <si>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</si>
  <si>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</si>
  <si>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</si>
  <si>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</si>
  <si>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</si>
  <si>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</si>
  <si>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</si>
  <si>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</si>
  <si>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</si>
  <si>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</si>
  <si>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</si>
  <si>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</si>
  <si>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</si>
  <si>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</si>
  <si>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</si>
  <si>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</si>
  <si>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</si>
  <si>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</si>
  <si>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</si>
  <si>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</si>
  <si>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</si>
  <si>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</si>
  <si>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</si>
  <si>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</si>
  <si>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</si>
  <si>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</si>
  <si>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</si>
  <si>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</si>
  <si>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</si>
  <si>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</si>
  <si>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</si>
  <si>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</si>
  <si>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</si>
  <si>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</si>
  <si>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</si>
  <si>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</si>
  <si>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</si>
  <si>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</si>
  <si>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</si>
  <si>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</si>
  <si>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</si>
  <si>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</si>
  <si>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</si>
  <si>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</si>
  <si>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</si>
  <si>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</si>
  <si>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</si>
  <si>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</si>
  <si>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</si>
  <si>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</si>
  <si>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</si>
  <si>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</si>
  <si>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</si>
  <si>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</si>
  <si>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</si>
  <si>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</si>
  <si>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</si>
  <si>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</si>
  <si>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</si>
  <si>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</si>
  <si>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</si>
  <si>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</si>
  <si>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</si>
  <si>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</si>
  <si>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</si>
  <si>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</si>
  <si>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</si>
  <si>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</si>
  <si>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</si>
  <si>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</si>
  <si>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</si>
  <si>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</si>
  <si>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</si>
  <si>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</si>
  <si>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</si>
  <si>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</si>
  <si>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</si>
  <si>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</si>
  <si>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</si>
  <si>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</si>
  <si>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</si>
  <si>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</si>
  <si>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</si>
  <si>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</si>
  <si>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</si>
  <si>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</si>
  <si>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</si>
  <si>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</si>
  <si>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</si>
  <si>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</si>
  <si>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</si>
  <si>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</si>
  <si>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</si>
  <si>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</si>
  <si>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</si>
  <si>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</si>
  <si>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</si>
  <si>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</si>
  <si>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</si>
  <si>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</si>
  <si>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</si>
  <si>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</si>
  <si>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</si>
  <si>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</si>
  <si>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</si>
  <si>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</si>
  <si>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</si>
  <si>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</si>
  <si>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</si>
  <si>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</si>
  <si>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</si>
  <si>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</si>
  <si>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</si>
  <si>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</si>
  <si>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</si>
  <si>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</si>
  <si>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</si>
  <si>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</si>
  <si>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</si>
  <si>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</si>
  <si>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</si>
  <si>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</si>
  <si>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</si>
  <si>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</si>
  <si>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</si>
  <si>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</si>
  <si>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</si>
  <si>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</si>
  <si>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</si>
  <si>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</si>
  <si>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</si>
  <si>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</si>
  <si>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</si>
  <si>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</si>
  <si>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</si>
  <si>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</si>
  <si>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</si>
  <si>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</si>
  <si>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</si>
  <si>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</si>
  <si>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</si>
  <si>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</si>
  <si>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</si>
  <si>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</si>
  <si>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</si>
  <si>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</si>
  <si>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</si>
  <si>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</si>
  <si>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</si>
  <si>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</si>
  <si>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</si>
  <si>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</si>
  <si>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</si>
  <si>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</si>
  <si>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</si>
  <si>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</si>
  <si>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</si>
  <si>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</si>
  <si>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</si>
  <si>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</si>
  <si>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</si>
  <si>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</si>
  <si>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</si>
  <si>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</si>
  <si>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</si>
  <si>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</si>
  <si>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</si>
  <si>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</si>
  <si>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</si>
  <si>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</si>
  <si>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</si>
  <si>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</si>
  <si>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</si>
  <si>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</si>
  <si>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</si>
  <si>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</si>
  <si>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</si>
  <si>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</si>
  <si>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</si>
  <si>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</si>
  <si>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</si>
  <si>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</si>
  <si>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</si>
  <si>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</si>
  <si>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</si>
  <si>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</si>
  <si>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</si>
  <si>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</si>
  <si>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</si>
  <si>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</si>
  <si>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HK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</si>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</sst>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&quot;FCFF per share = &quot;#,##0.00"/>
    <numFmt numFmtId="187" formatCode="&quot;CI = &quot;0.00"/>
    <numFmt numFmtId="188" formatCode="&quot;ω = &quot;0.00"/>
    <numFmt numFmtId="189" formatCode="&quot;Total &quot;0.00%"/>
    <numFmt numFmtId="190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1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9" fontId="18" fillId="4" borderId="5" xfId="0" applyNumberFormat="1" applyFont="1" applyFill="1" applyBorder="1" applyAlignment="1">
      <alignment horizontal="center"/>
    </xf>
    <xf numFmtId="179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9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9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9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9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7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7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2" fontId="2" fillId="8" borderId="11" xfId="0" applyNumberFormat="1" applyFont="1" applyFill="1" applyBorder="1" applyAlignment="1">
      <alignment horizontal="center"/>
    </xf>
    <xf numFmtId="166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9" fontId="1" fillId="0" borderId="9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  <xf numFmtId="168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9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5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5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7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1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0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3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3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6" fontId="2" fillId="9" borderId="9" xfId="0" applyNumberFormat="1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179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7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0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9" fontId="1" fillId="14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24741</c:v>
                </c:pt>
                <c:pt idx="2" formatCode="#,##0">
                  <c:v>70692</c:v>
                </c:pt>
                <c:pt idx="3" formatCode="#,##0">
                  <c:v>-7605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111349</c:v>
                </c:pt>
                <c:pt idx="1" formatCode="#,##0">
                  <c:v>408118</c:v>
                </c:pt>
                <c:pt idx="2" formatCode="#,##0">
                  <c:v>630728</c:v>
                </c:pt>
                <c:pt idx="3" formatCode="#,##0">
                  <c:v>147631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22027</c:v>
                </c:pt>
                <c:pt idx="3" formatCode="#,##0">
                  <c:v>58246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513409</c:v>
                </c:pt>
                <c:pt idx="1" formatCode="#,##0">
                  <c:v>1379475</c:v>
                </c:pt>
                <c:pt idx="2" formatCode="#,##0">
                  <c:v>457813</c:v>
                </c:pt>
                <c:pt idx="3" formatCode="#,##0">
                  <c:v>-544315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F53" sqref="F53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44" t="str">
        <f>C3&amp;" : "&amp;C4</f>
        <v>0806.HK : VALUE PARTNERS</v>
      </c>
      <c r="D2" s="6"/>
      <c r="E2" s="12"/>
      <c r="F2" s="12"/>
      <c r="G2" s="12"/>
      <c r="H2" s="12"/>
      <c r="I2" s="6"/>
      <c r="J2" s="6"/>
    </row>
    <row r="3" spans="1:12" ht="15.75" customHeight="1" x14ac:dyDescent="0.15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 x14ac:dyDescent="0.15">
      <c r="B4" s="5" t="s">
        <v>4</v>
      </c>
      <c r="C4" s="338" t="s">
        <v>396</v>
      </c>
      <c r="D4" s="339"/>
      <c r="E4" s="6"/>
      <c r="G4" s="5" t="s">
        <v>5</v>
      </c>
      <c r="I4" s="221">
        <v>2.65</v>
      </c>
      <c r="J4" s="222" t="s">
        <v>6</v>
      </c>
      <c r="K4" s="92"/>
    </row>
    <row r="5" spans="1:12" ht="15.75" customHeight="1" x14ac:dyDescent="0.15">
      <c r="B5" s="5" t="s">
        <v>7</v>
      </c>
      <c r="C5" s="340">
        <v>44771</v>
      </c>
      <c r="D5" s="339"/>
      <c r="E5" s="79" t="str">
        <f ca="1">IF(C5+30&gt;=TODAY(),"Patience Premium","")</f>
        <v/>
      </c>
      <c r="G5" s="5" t="s">
        <v>8</v>
      </c>
      <c r="I5" s="349">
        <v>1826710016</v>
      </c>
      <c r="J5" s="349"/>
      <c r="K5" s="91"/>
      <c r="L5" s="52"/>
    </row>
    <row r="6" spans="1:12" ht="15.75" customHeight="1" x14ac:dyDescent="0.15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4840.7815424</v>
      </c>
      <c r="J6" s="350"/>
      <c r="K6" s="91"/>
    </row>
    <row r="7" spans="1:12" ht="15.75" customHeight="1" x14ac:dyDescent="0.15">
      <c r="B7" s="86" t="s">
        <v>10</v>
      </c>
      <c r="C7" s="218">
        <f>(Data!C42*Exchange_Rate)/I4</f>
        <v>3.0497348146557003E-2</v>
      </c>
      <c r="D7" s="218">
        <f>(Data!C43*Exchange_Rate)/I4</f>
        <v>1.2032354587751619E-2</v>
      </c>
      <c r="E7" s="93"/>
      <c r="F7" s="6"/>
    </row>
    <row r="8" spans="1:12" ht="15.75" customHeight="1" x14ac:dyDescent="0.15">
      <c r="C8" s="60"/>
      <c r="E8" s="6"/>
      <c r="G8" s="17" t="s">
        <v>11</v>
      </c>
      <c r="H8" s="83"/>
      <c r="I8" s="6"/>
      <c r="J8" s="6"/>
    </row>
    <row r="9" spans="1:12" ht="15.75" customHeight="1" x14ac:dyDescent="0.15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 x14ac:dyDescent="0.15">
      <c r="B10" s="3" t="s">
        <v>226</v>
      </c>
      <c r="C10" s="122" t="s">
        <v>406</v>
      </c>
      <c r="D10" s="122">
        <v>4.2069999999999996E-2</v>
      </c>
      <c r="E10" s="5"/>
      <c r="G10" s="85" t="s">
        <v>329</v>
      </c>
      <c r="H10" s="84"/>
      <c r="I10" s="165">
        <f>I4/(Data!C29*I12*Data!C4/Common_Shares)</f>
        <v>1.0771177561118233</v>
      </c>
      <c r="J10" s="223">
        <f>I4/(Data!C7*Data!C4/Common_Shares*Exchange_Rate)</f>
        <v>8.2813095741459559</v>
      </c>
    </row>
    <row r="11" spans="1:12" ht="15.75" customHeight="1" thickBot="1" x14ac:dyDescent="0.2">
      <c r="B11" s="124" t="s">
        <v>227</v>
      </c>
      <c r="C11" s="361">
        <f ca="1">C12-D10</f>
        <v>1.7930000000000001E-2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 x14ac:dyDescent="0.15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16" t="s">
        <v>16</v>
      </c>
      <c r="C14" s="134" t="s">
        <v>278</v>
      </c>
      <c r="D14" s="84"/>
      <c r="E14" s="167">
        <f ca="1">Val_Models!C44</f>
        <v>1.960058740220908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15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15">
      <c r="B16" s="82">
        <f>I4</f>
        <v>2.65</v>
      </c>
      <c r="C16" s="373">
        <v>0.2</v>
      </c>
      <c r="D16" s="238">
        <f ca="1">I37/B16-(1+C16)</f>
        <v>-0.15263427229001647</v>
      </c>
      <c r="E16" s="354" t="s">
        <v>21</v>
      </c>
      <c r="F16" s="351">
        <f>(Val_Models!G16)*Exchange_Rate</f>
        <v>1.7329200378129421</v>
      </c>
      <c r="G16" s="354" t="s">
        <v>22</v>
      </c>
      <c r="H16" s="239">
        <f>B16-$F$16</f>
        <v>0.91707996218705778</v>
      </c>
      <c r="I16" s="367">
        <v>3.4000000000000002E-2</v>
      </c>
      <c r="J16" s="166">
        <f>I16/B16</f>
        <v>1.2830188679245284E-2</v>
      </c>
    </row>
    <row r="17" spans="1:10" ht="15.75" customHeight="1" x14ac:dyDescent="0.15">
      <c r="B17" s="116">
        <f ca="1">MIN((I37+I38)/2,I37/(1+C16), IF(J20=0,E14,I37/(1+C16)))</f>
        <v>2.1717830853040914</v>
      </c>
      <c r="C17" s="374"/>
      <c r="D17" s="149">
        <f ca="1">I37/B17-(1+C16)</f>
        <v>7.7990973045464429E-2</v>
      </c>
      <c r="E17" s="355"/>
      <c r="F17" s="352"/>
      <c r="G17" s="355"/>
      <c r="H17" s="236">
        <f ca="1">B17-$F$16</f>
        <v>0.43886304749114924</v>
      </c>
      <c r="I17" s="368"/>
      <c r="J17" s="149">
        <f ca="1">I16/B17</f>
        <v>1.5655338799749122E-2</v>
      </c>
    </row>
    <row r="18" spans="1:10" ht="15.75" customHeight="1" x14ac:dyDescent="0.15">
      <c r="B18" s="129">
        <f>C37</f>
        <v>1.89</v>
      </c>
      <c r="C18" s="375"/>
      <c r="D18" s="237">
        <f ca="1">I37/B18-(1+C16)</f>
        <v>0.26852866583674961</v>
      </c>
      <c r="E18" s="356"/>
      <c r="F18" s="353"/>
      <c r="G18" s="356"/>
      <c r="H18" s="98">
        <f>B18-$F$16</f>
        <v>0.15707996218705778</v>
      </c>
      <c r="I18" s="369"/>
      <c r="J18" s="158">
        <f>I16/B18</f>
        <v>1.7989417989417993E-2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 x14ac:dyDescent="0.15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 x14ac:dyDescent="0.15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 x14ac:dyDescent="0.15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 x14ac:dyDescent="0.15">
      <c r="A24" s="6"/>
      <c r="B24" s="19" t="s">
        <v>291</v>
      </c>
      <c r="C24" s="321"/>
      <c r="D24" s="321"/>
      <c r="E24" s="321"/>
      <c r="F24" s="321"/>
      <c r="G24" s="321"/>
      <c r="H24" s="321"/>
      <c r="I24" s="321"/>
      <c r="J24" s="321"/>
    </row>
    <row r="25" spans="1:10" ht="52.5" customHeight="1" x14ac:dyDescent="0.15">
      <c r="A25" s="6"/>
      <c r="B25" s="138" t="s">
        <v>290</v>
      </c>
      <c r="C25" s="322"/>
      <c r="D25" s="322"/>
      <c r="E25" s="322"/>
      <c r="F25" s="322"/>
      <c r="G25" s="322"/>
      <c r="H25" s="322"/>
      <c r="I25" s="322"/>
      <c r="J25" s="322"/>
    </row>
    <row r="26" spans="1:10" ht="15.75" customHeight="1" x14ac:dyDescent="0.15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15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15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 x14ac:dyDescent="0.15">
      <c r="B29" s="18" t="s">
        <v>31</v>
      </c>
      <c r="C29" s="366">
        <f>C33/D27</f>
        <v>0.17181818181818181</v>
      </c>
      <c r="D29" s="365"/>
      <c r="E29" s="364">
        <f>E33/D27</f>
        <v>0</v>
      </c>
      <c r="F29" s="365"/>
      <c r="G29" s="371">
        <f>G33/D27</f>
        <v>0</v>
      </c>
      <c r="H29" s="371"/>
      <c r="I29" s="370">
        <f>C29+E29+G29</f>
        <v>0.17181818181818181</v>
      </c>
      <c r="J29" s="370"/>
    </row>
    <row r="30" spans="1:10" ht="15.75" customHeight="1" x14ac:dyDescent="0.15">
      <c r="B30" s="18" t="s">
        <v>32</v>
      </c>
      <c r="C30" s="349">
        <v>60000</v>
      </c>
      <c r="D30" s="339"/>
      <c r="E30" s="349"/>
      <c r="F30" s="339"/>
      <c r="G30" s="349"/>
      <c r="H30" s="349"/>
      <c r="I30" s="376">
        <f>C30+E30+G30</f>
        <v>60000</v>
      </c>
      <c r="J30" s="376"/>
    </row>
    <row r="31" spans="1:10" ht="15.75" customHeight="1" x14ac:dyDescent="0.15">
      <c r="B31" s="18" t="s">
        <v>33</v>
      </c>
      <c r="C31" s="363">
        <v>1.89</v>
      </c>
      <c r="D31" s="339"/>
      <c r="E31" s="363"/>
      <c r="F31" s="339"/>
      <c r="G31" s="363"/>
      <c r="H31" s="363"/>
      <c r="I31" s="330"/>
      <c r="J31" s="330"/>
    </row>
    <row r="32" spans="1:10" ht="15.75" customHeight="1" x14ac:dyDescent="0.15">
      <c r="B32" s="18" t="s">
        <v>34</v>
      </c>
      <c r="C32" s="328">
        <f>C31*$I$5/1000000</f>
        <v>3452.4819302399997</v>
      </c>
      <c r="D32" s="365"/>
      <c r="E32" s="328">
        <f>E31*$I$5/1000000</f>
        <v>0</v>
      </c>
      <c r="F32" s="365"/>
      <c r="G32" s="328">
        <f>G31*$I$5/1000000</f>
        <v>0</v>
      </c>
      <c r="H32" s="328"/>
      <c r="I32" s="330"/>
      <c r="J32" s="330"/>
    </row>
    <row r="33" spans="2:11" ht="15.75" customHeight="1" x14ac:dyDescent="0.15">
      <c r="B33" s="2" t="s">
        <v>35</v>
      </c>
      <c r="C33" s="329">
        <f>C30*C31</f>
        <v>113400</v>
      </c>
      <c r="D33" s="378"/>
      <c r="E33" s="329">
        <f>E30*E31</f>
        <v>0</v>
      </c>
      <c r="F33" s="378"/>
      <c r="G33" s="329">
        <f>G30*G31</f>
        <v>0</v>
      </c>
      <c r="H33" s="329"/>
      <c r="I33" s="329">
        <f>C33+E33+G33</f>
        <v>113400</v>
      </c>
      <c r="J33" s="329"/>
    </row>
    <row r="34" spans="2:11" ht="15.75" customHeight="1" x14ac:dyDescent="0.15">
      <c r="B34" s="1" t="s">
        <v>36</v>
      </c>
      <c r="C34" s="330"/>
      <c r="D34" s="333"/>
      <c r="E34" s="332">
        <f>IF(C33=0,"-",(C33+E33)/(C30+E30))</f>
        <v>1.89</v>
      </c>
      <c r="F34" s="365"/>
      <c r="G34" s="78"/>
      <c r="H34" s="78"/>
      <c r="I34" s="332">
        <f>IF(I33=0,"",I33/I30)</f>
        <v>1.89</v>
      </c>
      <c r="J34" s="332"/>
    </row>
    <row r="35" spans="2:11" ht="15.75" customHeight="1" x14ac:dyDescent="0.15">
      <c r="B35" s="1" t="s">
        <v>37</v>
      </c>
      <c r="C35" s="334"/>
      <c r="D35" s="335"/>
      <c r="E35" s="331">
        <f>IF(E34="-","-",E34*$I$5/1000000)</f>
        <v>3452.4819302399997</v>
      </c>
      <c r="F35" s="377"/>
      <c r="G35" s="230"/>
      <c r="H35" s="230"/>
      <c r="I35" s="331">
        <f>IF(I34="","",I34*$I$5/1000000)</f>
        <v>3452.4819302399997</v>
      </c>
      <c r="J35" s="331"/>
    </row>
    <row r="36" spans="2:11" ht="15.75" customHeight="1" x14ac:dyDescent="0.15"/>
    <row r="37" spans="2:11" ht="15.75" customHeight="1" x14ac:dyDescent="0.15">
      <c r="B37" s="87" t="s">
        <v>255</v>
      </c>
      <c r="C37" s="326">
        <f>C31</f>
        <v>1.89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2.7755191784314563</v>
      </c>
      <c r="J37" s="325"/>
    </row>
    <row r="38" spans="2:11" ht="15.75" customHeight="1" x14ac:dyDescent="0.15">
      <c r="B38" s="87" t="s">
        <v>280</v>
      </c>
      <c r="C38" s="326">
        <f>E34</f>
        <v>1.89</v>
      </c>
      <c r="D38" s="327"/>
      <c r="E38" s="6"/>
      <c r="F38" s="6"/>
      <c r="G38" s="323" t="s">
        <v>279</v>
      </c>
      <c r="H38" s="323"/>
      <c r="I38" s="324">
        <f ca="1">Val_Models!C47</f>
        <v>1.5680469921767264</v>
      </c>
      <c r="J38" s="325"/>
    </row>
    <row r="39" spans="2:11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15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15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 x14ac:dyDescent="0.15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 x14ac:dyDescent="0.15">
      <c r="B43" s="3" t="s">
        <v>272</v>
      </c>
      <c r="C43" s="6"/>
      <c r="D43" s="6"/>
      <c r="E43" s="6"/>
      <c r="F43" s="171">
        <f>Qualitative_Analysis!E64</f>
        <v>0.5228401360544217</v>
      </c>
      <c r="G43" s="77"/>
      <c r="H43" s="77"/>
      <c r="I43" s="77"/>
      <c r="J43" s="77"/>
    </row>
    <row r="44" spans="2:11" ht="15.75" customHeight="1" x14ac:dyDescent="0.15">
      <c r="B44" s="3" t="s">
        <v>334</v>
      </c>
      <c r="C44" s="6"/>
      <c r="D44" s="6"/>
      <c r="E44" s="6"/>
      <c r="F44" s="171">
        <f>AVERAGE(Asset_Model!J28/4,1-Asset_Model!I56)</f>
        <v>0.9893703655258268</v>
      </c>
      <c r="G44" s="77"/>
      <c r="H44" s="77"/>
      <c r="I44" s="77"/>
      <c r="J44" s="77"/>
    </row>
    <row r="45" spans="2:11" ht="15.75" customHeight="1" x14ac:dyDescent="0.15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15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15">
      <c r="B47" s="3" t="s">
        <v>268</v>
      </c>
      <c r="C47" s="6"/>
      <c r="D47" s="6"/>
      <c r="E47" s="171">
        <f ca="1">I37/C31-1</f>
        <v>0.46852866583674957</v>
      </c>
      <c r="F47" s="171">
        <f ca="1">I37/C38-1</f>
        <v>0.46852866583674957</v>
      </c>
      <c r="G47" s="6"/>
      <c r="H47" s="6"/>
      <c r="I47" s="6"/>
      <c r="J47" s="233"/>
    </row>
    <row r="48" spans="2:11" ht="15.75" customHeight="1" x14ac:dyDescent="0.15">
      <c r="B48" s="3" t="s">
        <v>269</v>
      </c>
      <c r="C48" s="6"/>
      <c r="D48" s="6"/>
      <c r="E48" s="171">
        <f ca="1">Val_Models!C47/C31-1</f>
        <v>-0.17034550678480076</v>
      </c>
      <c r="F48" s="171">
        <f ca="1">Val_Models!C47/C38-1</f>
        <v>-0.17034550678480076</v>
      </c>
      <c r="G48" s="6"/>
      <c r="H48" s="6"/>
      <c r="I48" s="6"/>
      <c r="J48" s="6"/>
    </row>
    <row r="49" spans="2:10" ht="15.75" customHeight="1" x14ac:dyDescent="0.15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15">
      <c r="B50" s="3" t="s">
        <v>271</v>
      </c>
      <c r="C50" s="6"/>
      <c r="D50" s="6"/>
      <c r="E50" s="54">
        <f ca="1">IF(E47&lt;=0,0,AVERAGE(F41:F44,0.5*(1+E47+E48-C16)))</f>
        <v>0.64026041622124463</v>
      </c>
      <c r="F50" s="171">
        <f ca="1">IF(F47&lt;=0,0,AVERAGE(F41:F44,0.5*(1+F47+F48-C16)))</f>
        <v>0.64026041622124463</v>
      </c>
      <c r="G50" s="77"/>
      <c r="H50" s="6"/>
      <c r="I50" s="6"/>
      <c r="J50" s="6"/>
    </row>
    <row r="51" spans="2:10" ht="15.75" customHeight="1" x14ac:dyDescent="0.15">
      <c r="B51" s="3" t="s">
        <v>270</v>
      </c>
      <c r="C51" s="6"/>
      <c r="D51" s="66"/>
      <c r="E51" s="234">
        <f ca="1">IF(E48&gt;=0,100,E47/ABS(E48))</f>
        <v>2.750460958319533</v>
      </c>
      <c r="F51" s="234">
        <f ca="1">IF(F48&gt;=0,100,F47/ABS(F48))</f>
        <v>2.750460958319533</v>
      </c>
      <c r="G51" s="77"/>
      <c r="H51" s="6"/>
      <c r="I51" s="6"/>
      <c r="J51" s="6"/>
    </row>
    <row r="52" spans="2:10" ht="15.75" customHeight="1" x14ac:dyDescent="0.15">
      <c r="B52" s="3" t="s">
        <v>283</v>
      </c>
      <c r="C52" s="6"/>
      <c r="D52" s="6"/>
      <c r="E52" s="232">
        <f ca="1">MAX(C16*2.5/E47,1)+IF(E47&lt;C16,100,0)+IF(J20=1,2/(1+E47+E48-C16),0)</f>
        <v>2.8883603921046426</v>
      </c>
      <c r="F52" s="232">
        <f ca="1">MAX(C16*2.5/F47,1)+IF(F47&lt;C16,100,0)+IF(D18&lt;0,100,0)+IF(J20=1,2/(1+F47+F48-C16),0)</f>
        <v>2.8883603921046426</v>
      </c>
      <c r="G52" s="170"/>
      <c r="H52" s="235"/>
      <c r="I52" s="235"/>
      <c r="J52" s="6"/>
    </row>
    <row r="53" spans="2:10" ht="15.75" customHeight="1" x14ac:dyDescent="0.15">
      <c r="B53" s="3" t="s">
        <v>284</v>
      </c>
      <c r="C53" s="6"/>
      <c r="D53" s="6"/>
      <c r="E53" s="217">
        <f ca="1">MIN(MAX(E50-ABS((1-E50)/E51),0)/E52,H53)</f>
        <v>0.17638655726768057</v>
      </c>
      <c r="F53" s="217">
        <f ca="1">MIN(MAX(F50-ABS((1-F50)/F51),0)/F52,H53)</f>
        <v>0.17638655726768057</v>
      </c>
      <c r="G53" s="170" t="s">
        <v>273</v>
      </c>
      <c r="H53" s="171">
        <v>0.4</v>
      </c>
      <c r="I53" s="6"/>
      <c r="J53" s="6"/>
    </row>
    <row r="54" spans="2:10" ht="15.75" customHeight="1" x14ac:dyDescent="0.15"/>
    <row r="55" spans="2:10" ht="15.75" customHeight="1" x14ac:dyDescent="0.15">
      <c r="B55" s="17" t="s">
        <v>275</v>
      </c>
    </row>
    <row r="56" spans="2:10" ht="15.75" customHeight="1" x14ac:dyDescent="0.15">
      <c r="B56" s="137" t="s">
        <v>276</v>
      </c>
    </row>
    <row r="57" spans="2:10" ht="15.75" customHeight="1" x14ac:dyDescent="0.15">
      <c r="B57" s="3" t="s">
        <v>287</v>
      </c>
    </row>
    <row r="58" spans="2:10" ht="15.75" customHeight="1" x14ac:dyDescent="0.15">
      <c r="B58" s="3" t="s">
        <v>286</v>
      </c>
    </row>
    <row r="59" spans="2:10" ht="15.75" customHeight="1" x14ac:dyDescent="0.15"/>
    <row r="60" spans="2:10" ht="15.75" customHeight="1" x14ac:dyDescent="0.15">
      <c r="B60" s="137" t="s">
        <v>277</v>
      </c>
    </row>
    <row r="61" spans="2:10" ht="15.75" customHeight="1" x14ac:dyDescent="0.15">
      <c r="B61" s="3" t="s">
        <v>288</v>
      </c>
    </row>
    <row r="62" spans="2:10" ht="15.75" customHeight="1" x14ac:dyDescent="0.15">
      <c r="B62" s="3" t="s">
        <v>289</v>
      </c>
    </row>
    <row r="63" spans="2:10" ht="15.75" customHeight="1" x14ac:dyDescent="0.15"/>
    <row r="64" spans="2:10" ht="15.75" customHeight="1" x14ac:dyDescent="0.15">
      <c r="B64" s="137" t="s">
        <v>389</v>
      </c>
    </row>
    <row r="65" spans="2:2" ht="15.75" customHeight="1" x14ac:dyDescent="0.15">
      <c r="B65" s="3" t="s">
        <v>391</v>
      </c>
    </row>
    <row r="66" spans="2:2" ht="15.75" customHeight="1" x14ac:dyDescent="0.15">
      <c r="B66" s="3" t="s">
        <v>390</v>
      </c>
    </row>
    <row r="67" spans="2:2" ht="15.75" customHeight="1" x14ac:dyDescent="0.15"/>
    <row r="68" spans="2:2" ht="15.75" customHeight="1" x14ac:dyDescent="0.15"/>
    <row r="69" spans="2:2" ht="15.75" customHeight="1" x14ac:dyDescent="0.15"/>
    <row r="70" spans="2:2" ht="15.75" customHeight="1" x14ac:dyDescent="0.15"/>
    <row r="71" spans="2:2" ht="15.75" customHeight="1" x14ac:dyDescent="0.15"/>
    <row r="72" spans="2:2" ht="15.75" customHeight="1" x14ac:dyDescent="0.15"/>
    <row r="73" spans="2:2" ht="15.75" customHeight="1" x14ac:dyDescent="0.15"/>
    <row r="74" spans="2:2" ht="15.75" customHeight="1" x14ac:dyDescent="0.15"/>
    <row r="75" spans="2:2" ht="15.75" customHeight="1" x14ac:dyDescent="0.15"/>
    <row r="76" spans="2:2" ht="15.75" customHeight="1" x14ac:dyDescent="0.15"/>
    <row r="77" spans="2:2" ht="15.75" customHeight="1" x14ac:dyDescent="0.15"/>
    <row r="78" spans="2:2" ht="15.75" customHeight="1" x14ac:dyDescent="0.15"/>
    <row r="79" spans="2:2" ht="15.75" customHeight="1" x14ac:dyDescent="0.15"/>
    <row r="80" spans="2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4" sqref="C4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23"/>
      <c r="B1" s="24"/>
      <c r="C1" s="25"/>
      <c r="D1" s="25"/>
      <c r="E1" s="25"/>
      <c r="F1" s="25"/>
    </row>
    <row r="2" spans="1:14" ht="15.75" customHeight="1" x14ac:dyDescent="0.2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-544315</v>
      </c>
      <c r="G3" s="6"/>
      <c r="H3" s="5"/>
      <c r="I3" s="6"/>
      <c r="J3" s="96"/>
      <c r="K3" s="6"/>
      <c r="L3" s="6"/>
      <c r="M3" s="6"/>
    </row>
    <row r="4" spans="1:14" ht="15.75" customHeight="1" x14ac:dyDescent="0.15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-103795.5</v>
      </c>
      <c r="G4" s="6"/>
      <c r="I4" s="6"/>
      <c r="J4" s="54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15">
      <c r="A7" s="9"/>
      <c r="B7" s="159" t="s">
        <v>41</v>
      </c>
      <c r="C7" s="160">
        <v>584543</v>
      </c>
      <c r="D7" s="160">
        <v>1281649</v>
      </c>
      <c r="E7" s="160">
        <v>2561449</v>
      </c>
      <c r="F7" s="160">
        <v>1603918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15">
      <c r="A8" s="9"/>
      <c r="B8" s="155" t="s">
        <v>42</v>
      </c>
      <c r="C8" s="149">
        <f t="shared" ref="C8:L8" si="1">IF(D7="","",C7/D7-1)</f>
        <v>-0.54391334913069023</v>
      </c>
      <c r="D8" s="149">
        <f t="shared" si="1"/>
        <v>-0.49963907147868258</v>
      </c>
      <c r="E8" s="149">
        <f t="shared" si="1"/>
        <v>0.59699498353407088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15">
      <c r="A9" s="9"/>
      <c r="B9" s="155" t="s">
        <v>43</v>
      </c>
      <c r="C9" s="148">
        <f>252590+330088+20483</f>
        <v>603161</v>
      </c>
      <c r="D9" s="148">
        <f>526235+389543+23748</f>
        <v>939526</v>
      </c>
      <c r="E9" s="148">
        <f>510820+672911+31145</f>
        <v>1214876</v>
      </c>
      <c r="F9" s="148">
        <f>807946+400167+29677</f>
        <v>1237790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15">
      <c r="A10" s="9"/>
      <c r="B10" s="155" t="s">
        <v>44</v>
      </c>
      <c r="C10" s="149">
        <f t="shared" ref="C10:M10" si="2">IF(C7="","",(C7-C9)/C7)</f>
        <v>-3.1850522544962477E-2</v>
      </c>
      <c r="D10" s="149">
        <f t="shared" si="2"/>
        <v>0.26693970033917241</v>
      </c>
      <c r="E10" s="149">
        <f t="shared" si="2"/>
        <v>0.52570751945480854</v>
      </c>
      <c r="F10" s="149">
        <f t="shared" si="2"/>
        <v>0.22827102133650223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15">
      <c r="A11" s="9"/>
      <c r="B11" s="155" t="s">
        <v>45</v>
      </c>
      <c r="C11" s="148">
        <f>119776</f>
        <v>119776</v>
      </c>
      <c r="D11" s="148">
        <f>99374</f>
        <v>99374</v>
      </c>
      <c r="E11" s="148">
        <v>111672</v>
      </c>
      <c r="F11" s="148">
        <v>113876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15">
      <c r="A12" s="9"/>
      <c r="B12" s="155" t="s">
        <v>46</v>
      </c>
      <c r="C12" s="149">
        <f t="shared" ref="C12:M12" si="3">IF(C7="","",C10-C13)</f>
        <v>0.20490537052021834</v>
      </c>
      <c r="D12" s="149">
        <f t="shared" si="3"/>
        <v>7.7536049261537288E-2</v>
      </c>
      <c r="E12" s="149">
        <f t="shared" si="3"/>
        <v>4.3597198304553331E-2</v>
      </c>
      <c r="F12" s="149">
        <f t="shared" si="3"/>
        <v>7.0998642075218305E-2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15">
      <c r="A13" s="9"/>
      <c r="B13" s="155" t="s">
        <v>47</v>
      </c>
      <c r="C13" s="149">
        <f t="shared" ref="C13:M13" si="4">IF(C14="","",C14/C7)</f>
        <v>-0.23675589306518083</v>
      </c>
      <c r="D13" s="149">
        <f t="shared" si="4"/>
        <v>0.18940365107763513</v>
      </c>
      <c r="E13" s="149">
        <f t="shared" si="4"/>
        <v>0.48211032115025521</v>
      </c>
      <c r="F13" s="149">
        <f t="shared" si="4"/>
        <v>0.15727237926128393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15">
      <c r="A14" s="9"/>
      <c r="B14" s="155" t="s">
        <v>48</v>
      </c>
      <c r="C14" s="51">
        <f t="shared" ref="C14:M14" si="5">IF(C7="","",C7-C9-C11)</f>
        <v>-138394</v>
      </c>
      <c r="D14" s="51">
        <f t="shared" si="5"/>
        <v>242749</v>
      </c>
      <c r="E14" s="51">
        <f t="shared" si="5"/>
        <v>1234901</v>
      </c>
      <c r="F14" s="51">
        <f t="shared" si="5"/>
        <v>252252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15">
      <c r="A15" s="9"/>
      <c r="B15" s="155" t="s">
        <v>49</v>
      </c>
      <c r="C15" s="149" t="str">
        <f>IF(D14="","",IF(ABS(C14+D14)=ABS(C14)+ABS(D14),IF(C14&lt;0,-1,1)*(C14-D14)/D14,"Turn"))</f>
        <v>Turn</v>
      </c>
      <c r="D15" s="149">
        <f t="shared" ref="D15:M15" si="6">IF(E14="","",IF(ABS(D14+E14)=ABS(D14)+ABS(E14),IF(D14&lt;0,-1,1)*(D14-E14)/E14,"Turn"))</f>
        <v>-0.80342634753717102</v>
      </c>
      <c r="E15" s="149">
        <f t="shared" si="6"/>
        <v>3.8955052883624313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15">
      <c r="A16" s="9"/>
      <c r="B16" s="155" t="s">
        <v>50</v>
      </c>
      <c r="C16" s="51">
        <f>IF(C14="","",C14*(1-Projections!$F$17))</f>
        <v>-103795.5</v>
      </c>
      <c r="D16" s="51">
        <f>IF(D14="","",D14*(1-Projections!$F$17))</f>
        <v>182061.75</v>
      </c>
      <c r="E16" s="51">
        <f>IF(E14="","",E14*(1-Projections!$F$17))</f>
        <v>926175.75</v>
      </c>
      <c r="F16" s="51">
        <f>IF(F14="","",F14*(1-Projections!$F$17))</f>
        <v>189189</v>
      </c>
      <c r="G16" s="51" t="str">
        <f>IF(G14="","",G14*(1-Projections!$F$17))</f>
        <v/>
      </c>
      <c r="H16" s="51" t="str">
        <f>IF(H14="","",H14*(1-Projections!$F$17))</f>
        <v/>
      </c>
      <c r="I16" s="51" t="str">
        <f>IF(I14="","",I14*(1-Projections!$F$17))</f>
        <v/>
      </c>
      <c r="J16" s="51" t="str">
        <f>IF(J14="","",J14*(1-Projections!$F$17))</f>
        <v/>
      </c>
      <c r="K16" s="51" t="str">
        <f>IF(K14="","",K14*(1-Projections!$F$17))</f>
        <v/>
      </c>
      <c r="L16" s="51" t="str">
        <f>IF(L14="","",L14*(1-Projections!$F$17))</f>
        <v/>
      </c>
      <c r="M16" s="51" t="str">
        <f>IF(M14="","",M14*(1-Projections!$F$17))</f>
        <v/>
      </c>
      <c r="N16" s="6"/>
    </row>
    <row r="17" spans="1:14" ht="15.75" customHeight="1" x14ac:dyDescent="0.15">
      <c r="A17" s="9"/>
      <c r="B17" s="155" t="s">
        <v>51</v>
      </c>
      <c r="C17" s="149">
        <f t="shared" ref="C17:M17" si="7">IF(C7="","",C16/C7)</f>
        <v>-0.17756691979888561</v>
      </c>
      <c r="D17" s="149">
        <f t="shared" si="7"/>
        <v>0.14205273830822635</v>
      </c>
      <c r="E17" s="149">
        <f t="shared" si="7"/>
        <v>0.36158274086269138</v>
      </c>
      <c r="F17" s="149">
        <f t="shared" si="7"/>
        <v>0.11795428444596295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15">
      <c r="A18" s="9"/>
      <c r="B18" s="155" t="s">
        <v>213</v>
      </c>
      <c r="C18" s="148">
        <v>5293</v>
      </c>
      <c r="D18" s="148">
        <v>3968</v>
      </c>
      <c r="E18" s="148">
        <v>3450</v>
      </c>
      <c r="F18" s="148">
        <v>5627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15">
      <c r="A19" s="9"/>
      <c r="B19" s="155" t="s">
        <v>52</v>
      </c>
      <c r="C19" s="148">
        <v>-544315</v>
      </c>
      <c r="D19" s="148">
        <v>457813</v>
      </c>
      <c r="E19" s="148">
        <v>1379475</v>
      </c>
      <c r="F19" s="148">
        <v>513409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15">
      <c r="A20" s="9"/>
      <c r="B20" s="155" t="s">
        <v>225</v>
      </c>
      <c r="C20" s="149" t="str">
        <f>IF(D19="","",IF(ABS(C19+D19)=ABS(C19)+ABS(D19),IF(C19&lt;0,-1,1)*(C19-D19)/D19,"Turn"))</f>
        <v>Turn</v>
      </c>
      <c r="D20" s="149">
        <f t="shared" ref="D20:M20" si="8">IF(E19="","",IF(ABS(D19+E19)=ABS(D19)+ABS(E19),IF(D19&lt;0,-1,1)*(D19-E19)/E19,"Turn"))</f>
        <v>-0.66812519255513869</v>
      </c>
      <c r="E20" s="149">
        <f t="shared" si="8"/>
        <v>1.6868929060456672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15">
      <c r="A21" s="9"/>
      <c r="B21" s="155" t="s">
        <v>370</v>
      </c>
      <c r="C21" s="150">
        <v>4747857</v>
      </c>
      <c r="D21" s="148">
        <v>5670342</v>
      </c>
      <c r="E21" s="148">
        <v>6298813</v>
      </c>
      <c r="F21" s="148">
        <v>4912745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15">
      <c r="A22" s="9"/>
      <c r="B22" s="155" t="s">
        <v>93</v>
      </c>
      <c r="C22" s="150">
        <v>2035684</v>
      </c>
      <c r="D22" s="148">
        <v>1971613</v>
      </c>
      <c r="E22" s="148">
        <v>3670507</v>
      </c>
      <c r="F22" s="148">
        <v>2865345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15">
      <c r="A23" s="9"/>
      <c r="B23" s="155" t="s">
        <v>53</v>
      </c>
      <c r="C23" s="150">
        <v>235020</v>
      </c>
      <c r="D23" s="148">
        <v>285909</v>
      </c>
      <c r="E23" s="148">
        <v>828810</v>
      </c>
      <c r="F23" s="148">
        <v>420078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15">
      <c r="A24" s="9"/>
      <c r="B24" s="155" t="s">
        <v>54</v>
      </c>
      <c r="C24" s="150">
        <v>95576</v>
      </c>
      <c r="D24" s="148">
        <v>19771</v>
      </c>
      <c r="E24" s="148">
        <v>98956</v>
      </c>
      <c r="F24" s="148">
        <v>28056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15">
      <c r="A25" s="9"/>
      <c r="B25" s="156" t="s">
        <v>55</v>
      </c>
      <c r="C25" s="151">
        <v>19522</v>
      </c>
      <c r="D25" s="152">
        <v>19771</v>
      </c>
      <c r="E25" s="152">
        <v>12457</v>
      </c>
      <c r="F25" s="152">
        <v>28056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15">
      <c r="A26" s="9"/>
      <c r="B26" s="155" t="s">
        <v>56</v>
      </c>
      <c r="C26" s="150">
        <v>9661</v>
      </c>
      <c r="D26" s="148">
        <v>108512</v>
      </c>
      <c r="E26" s="148">
        <v>775</v>
      </c>
      <c r="F26" s="148">
        <v>92873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15">
      <c r="A27" s="9"/>
      <c r="B27" s="156" t="s">
        <v>57</v>
      </c>
      <c r="C27" s="153">
        <v>9661</v>
      </c>
      <c r="D27" s="152">
        <v>25878</v>
      </c>
      <c r="E27" s="152">
        <v>775</v>
      </c>
      <c r="F27" s="152">
        <v>12335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15">
      <c r="A28" s="9"/>
      <c r="B28" s="155" t="s">
        <v>58</v>
      </c>
      <c r="C28" s="51">
        <f t="shared" ref="C28:M28" si="9">IF(C7="","",C24+C26)</f>
        <v>105237</v>
      </c>
      <c r="D28" s="51">
        <f t="shared" si="9"/>
        <v>128283</v>
      </c>
      <c r="E28" s="51">
        <f t="shared" si="9"/>
        <v>99731</v>
      </c>
      <c r="F28" s="51">
        <f t="shared" si="9"/>
        <v>120929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15">
      <c r="A29" s="9"/>
      <c r="B29" s="155" t="s">
        <v>59</v>
      </c>
      <c r="C29" s="150">
        <v>4494199</v>
      </c>
      <c r="D29" s="148">
        <v>5264755</v>
      </c>
      <c r="E29" s="148">
        <v>5418042</v>
      </c>
      <c r="F29" s="148">
        <v>4389444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15">
      <c r="A30" s="9"/>
      <c r="B30" s="156" t="s">
        <v>183</v>
      </c>
      <c r="C30" s="153">
        <v>4494199</v>
      </c>
      <c r="D30" s="152">
        <v>5264755</v>
      </c>
      <c r="E30" s="152">
        <v>5418042</v>
      </c>
      <c r="F30" s="152">
        <v>4389444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15">
      <c r="A31" s="9"/>
      <c r="B31" s="155" t="s">
        <v>345</v>
      </c>
      <c r="C31" s="150">
        <v>197348</v>
      </c>
      <c r="D31" s="148">
        <v>238398</v>
      </c>
      <c r="E31" s="148">
        <v>208555</v>
      </c>
      <c r="F31" s="148">
        <v>235491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15">
      <c r="A32" s="9"/>
      <c r="B32" s="155" t="s">
        <v>196</v>
      </c>
      <c r="C32" s="150">
        <v>1666461</v>
      </c>
      <c r="D32" s="148">
        <v>1665937</v>
      </c>
      <c r="E32" s="148">
        <v>1974408</v>
      </c>
      <c r="F32" s="148">
        <v>2200778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15">
      <c r="A33" s="9"/>
      <c r="B33" s="155" t="s">
        <v>393</v>
      </c>
      <c r="C33" s="161">
        <f>C31-D31+Projections!F21</f>
        <v>-7605</v>
      </c>
      <c r="D33" s="161">
        <f>D31-E31+Projections!E21</f>
        <v>70692</v>
      </c>
      <c r="E33" s="161">
        <f>E31-F31+Projections!D21</f>
        <v>24741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15">
      <c r="A34" s="9"/>
      <c r="B34" s="155" t="s">
        <v>364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15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95753.1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15">
      <c r="A36" s="9"/>
      <c r="B36" s="155" t="s">
        <v>68</v>
      </c>
      <c r="C36" s="51">
        <f t="shared" ref="C36:M36" si="11">IF(D7="","",C33+C35)</f>
        <v>-7605</v>
      </c>
      <c r="D36" s="51">
        <f t="shared" si="11"/>
        <v>70692</v>
      </c>
      <c r="E36" s="51">
        <f t="shared" si="11"/>
        <v>120494.1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15">
      <c r="A37" s="9"/>
      <c r="B37" s="155" t="s">
        <v>338</v>
      </c>
      <c r="C37" s="149">
        <f>IF(C36="","",C33/C7)</f>
        <v>-1.3010163495243292E-2</v>
      </c>
      <c r="D37" s="149">
        <f t="shared" ref="D37:M37" si="12">IF(D36="","",D33/D7)</f>
        <v>5.5157067184541164E-2</v>
      </c>
      <c r="E37" s="149">
        <f t="shared" si="12"/>
        <v>9.6589859880091312E-3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15">
      <c r="A38" s="9"/>
      <c r="B38" s="157" t="s">
        <v>340</v>
      </c>
      <c r="C38" s="158">
        <f t="shared" ref="C38:M38" si="13">IF(C36="","",C33/C16)</f>
        <v>7.3269072358628271E-2</v>
      </c>
      <c r="D38" s="158">
        <f t="shared" si="13"/>
        <v>0.38828584257813625</v>
      </c>
      <c r="E38" s="158">
        <f t="shared" si="13"/>
        <v>2.6713072545896391E-2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15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15">
      <c r="A40" s="9"/>
      <c r="B40" s="159" t="s">
        <v>214</v>
      </c>
      <c r="C40" s="163">
        <v>147631</v>
      </c>
      <c r="D40" s="163">
        <v>630728</v>
      </c>
      <c r="E40" s="163">
        <v>408118</v>
      </c>
      <c r="F40" s="163">
        <v>111349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15">
      <c r="A41" s="9"/>
      <c r="B41" s="155" t="s">
        <v>62</v>
      </c>
      <c r="C41" s="161">
        <v>58246</v>
      </c>
      <c r="D41" s="161">
        <v>22027</v>
      </c>
      <c r="E41" s="161">
        <v>0</v>
      </c>
      <c r="F41" s="161">
        <v>3002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15">
      <c r="A42" s="9"/>
      <c r="B42" s="155" t="s">
        <v>179</v>
      </c>
      <c r="C42" s="162">
        <f t="shared" ref="C42:M42" si="14">IF(C40="","",C40*$C$4/Common_Shares)</f>
        <v>8.0817972588376058E-2</v>
      </c>
      <c r="D42" s="162">
        <f t="shared" si="14"/>
        <v>0.34528085710129486</v>
      </c>
      <c r="E42" s="162">
        <f t="shared" si="14"/>
        <v>0.22341696077939499</v>
      </c>
      <c r="F42" s="162">
        <f t="shared" si="14"/>
        <v>6.0956035180572417E-2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15">
      <c r="A43" s="9"/>
      <c r="B43" s="157" t="s">
        <v>180</v>
      </c>
      <c r="C43" s="164">
        <f t="shared" ref="C43:M43" si="15">IF(C41="","",C41*$C$4/Common_Shares)</f>
        <v>3.1885739657541788E-2</v>
      </c>
      <c r="D43" s="164">
        <f t="shared" si="15"/>
        <v>1.2058290482379443E-2</v>
      </c>
      <c r="E43" s="164">
        <f t="shared" si="15"/>
        <v>0</v>
      </c>
      <c r="F43" s="164">
        <f t="shared" si="15"/>
        <v>1.6433916569711304E-3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15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15">
      <c r="A45" s="9"/>
      <c r="B45" s="159" t="s">
        <v>354</v>
      </c>
      <c r="C45" s="166">
        <f>IF(C30="","",(C21-C30)/C21)</f>
        <v>5.3425787676419069E-2</v>
      </c>
      <c r="D45" s="166">
        <f>IF(D30="","",(D21-D30)/D21)</f>
        <v>7.1527784391135496E-2</v>
      </c>
      <c r="E45" s="166">
        <f t="shared" ref="E45:M45" si="16">IF(E30="","",(E21-E30)/E21)</f>
        <v>0.13983126662118719</v>
      </c>
      <c r="F45" s="166">
        <f t="shared" si="16"/>
        <v>0.10651906418916512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15">
      <c r="A46" s="9"/>
      <c r="B46" s="155" t="s">
        <v>366</v>
      </c>
      <c r="C46" s="149">
        <f t="shared" ref="C46:M46" si="17">IF(C30="","",C28/C30)</f>
        <v>2.3416186065637057E-2</v>
      </c>
      <c r="D46" s="149">
        <f t="shared" si="17"/>
        <v>2.436637602319576E-2</v>
      </c>
      <c r="E46" s="149">
        <f t="shared" si="17"/>
        <v>1.8407203192592453E-2</v>
      </c>
      <c r="F46" s="149">
        <f t="shared" si="17"/>
        <v>2.7549958491326007E-2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15">
      <c r="A47" s="9"/>
      <c r="B47" s="155" t="s">
        <v>64</v>
      </c>
      <c r="C47" s="165">
        <f t="shared" ref="C47:M47" si="18">IF(C14="","",IF(C28&lt;=0,"-",C14/C28))</f>
        <v>-1.3150697948440186</v>
      </c>
      <c r="D47" s="165">
        <f t="shared" si="18"/>
        <v>1.8922928213403178</v>
      </c>
      <c r="E47" s="165">
        <f t="shared" si="18"/>
        <v>12.382318436594439</v>
      </c>
      <c r="F47" s="165">
        <f t="shared" si="18"/>
        <v>2.0859512606570796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15">
      <c r="A48" s="9"/>
      <c r="B48" s="155" t="s">
        <v>65</v>
      </c>
      <c r="C48" s="149">
        <f>IF(C14="","",IF(C18&lt;=0,"-",C18/C14))</f>
        <v>-3.8245877711461478E-2</v>
      </c>
      <c r="D48" s="149">
        <f>IF(D14="","",IF(D18&lt;=0,"-",D18/D14))</f>
        <v>1.6346102352635849E-2</v>
      </c>
      <c r="E48" s="149">
        <f t="shared" ref="E48:M48" si="19">IF(E14="","",IF(E18&lt;=0,"-",E18/E14))</f>
        <v>2.7937462193325618E-3</v>
      </c>
      <c r="F48" s="149">
        <f t="shared" si="19"/>
        <v>2.2307058021343737E-2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15">
      <c r="A49" s="9"/>
      <c r="B49" s="157" t="s">
        <v>66</v>
      </c>
      <c r="C49" s="167">
        <f t="shared" ref="C49:M49" si="20">IF(C22="","",C22/C23)</f>
        <v>8.6617479363458436</v>
      </c>
      <c r="D49" s="167">
        <f t="shared" si="20"/>
        <v>6.8959459128603857</v>
      </c>
      <c r="E49" s="167">
        <f t="shared" si="20"/>
        <v>4.4286470964394731</v>
      </c>
      <c r="F49" s="167">
        <f t="shared" si="20"/>
        <v>6.8209832459686055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15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15">
      <c r="A51" s="9"/>
      <c r="B51" s="159" t="s">
        <v>293</v>
      </c>
      <c r="C51" s="166">
        <f t="shared" ref="C51:M51" si="21">C13</f>
        <v>-0.23675589306518083</v>
      </c>
      <c r="D51" s="166">
        <f t="shared" si="21"/>
        <v>0.18940365107763513</v>
      </c>
      <c r="E51" s="166">
        <f t="shared" si="21"/>
        <v>0.48211032115025521</v>
      </c>
      <c r="F51" s="166">
        <f t="shared" si="21"/>
        <v>0.15727237926128393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15">
      <c r="A52" s="9"/>
      <c r="B52" s="155" t="s">
        <v>294</v>
      </c>
      <c r="C52" s="149">
        <f>C7/C21</f>
        <v>0.12311722952060267</v>
      </c>
      <c r="D52" s="149">
        <f>IF(D7="","",D7/D21)</f>
        <v>0.22602675464725056</v>
      </c>
      <c r="E52" s="149">
        <f t="shared" ref="E52:M52" si="22">IF(E7="","",E7/E21)</f>
        <v>0.40665582547060852</v>
      </c>
      <c r="F52" s="149">
        <f t="shared" si="22"/>
        <v>0.32648102028499343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15">
      <c r="A53" s="9"/>
      <c r="B53" s="155" t="s">
        <v>372</v>
      </c>
      <c r="C53" s="168">
        <f>C21/C29</f>
        <v>1.0564412034269066</v>
      </c>
      <c r="D53" s="168">
        <f>IF(D29="","",D21/D29)</f>
        <v>1.0770381527725412</v>
      </c>
      <c r="E53" s="168">
        <f t="shared" ref="E53:M53" si="23">IF(E29="","",E21/E29)</f>
        <v>1.1625626010281944</v>
      </c>
      <c r="F53" s="168">
        <f t="shared" si="23"/>
        <v>1.1192180604194972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15">
      <c r="A54" s="9"/>
      <c r="B54" s="155" t="s">
        <v>371</v>
      </c>
      <c r="C54" s="149">
        <f>C51*C52*C53</f>
        <v>-3.07939190053667E-2</v>
      </c>
      <c r="D54" s="149">
        <f>IF(D51="","",D51*D52*D53)</f>
        <v>4.6108318430772177E-2</v>
      </c>
      <c r="E54" s="149">
        <f t="shared" ref="E54:M54" si="24">IF(E51="","",E51*E52*E53)</f>
        <v>0.22792385145777758</v>
      </c>
      <c r="F54" s="149">
        <f t="shared" si="24"/>
        <v>5.7467870646031705E-2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15">
      <c r="A55" s="9"/>
      <c r="B55" s="169" t="s">
        <v>295</v>
      </c>
      <c r="C55" s="158">
        <f>C38*C54</f>
        <v>-2.256241879809951E-3</v>
      </c>
      <c r="D55" s="158">
        <f>IF(D38="","",D38*D54)</f>
        <v>1.7903207271753385E-2</v>
      </c>
      <c r="E55" s="158">
        <f t="shared" ref="E55:M55" si="25">IF(E38="","",E38*E54)</f>
        <v>6.0885463789317256E-3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15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15">
      <c r="A57" s="9"/>
      <c r="B57" s="17" t="s">
        <v>337</v>
      </c>
      <c r="C57" s="31"/>
      <c r="D57" s="31"/>
      <c r="E57" s="31"/>
      <c r="F57" s="31"/>
    </row>
    <row r="58" spans="1:14" ht="15" customHeight="1" x14ac:dyDescent="0.15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15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15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15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15">
      <c r="A62" s="9"/>
      <c r="B62" s="1"/>
      <c r="C62" s="35"/>
      <c r="D62" s="35"/>
    </row>
    <row r="63" spans="1:14" ht="15.75" customHeight="1" x14ac:dyDescent="0.15">
      <c r="A63" s="9"/>
      <c r="B63" s="32"/>
      <c r="C63" s="35"/>
      <c r="D63" s="35"/>
    </row>
    <row r="64" spans="1:14" ht="15.75" customHeight="1" x14ac:dyDescent="0.15">
      <c r="A64" s="9"/>
      <c r="B64" s="32"/>
      <c r="C64" s="36"/>
      <c r="D64" s="36"/>
    </row>
    <row r="65" spans="1:4" ht="15.75" customHeight="1" x14ac:dyDescent="0.15">
      <c r="A65" s="9"/>
      <c r="B65" s="32"/>
      <c r="C65" s="35"/>
      <c r="D65" s="35"/>
    </row>
    <row r="66" spans="1:4" ht="15.75" customHeight="1" x14ac:dyDescent="0.15">
      <c r="A66" s="9"/>
      <c r="B66" s="32"/>
      <c r="C66" s="36"/>
      <c r="D66" s="36"/>
    </row>
    <row r="67" spans="1:4" ht="15.75" customHeight="1" x14ac:dyDescent="0.15">
      <c r="A67" s="9"/>
    </row>
    <row r="68" spans="1:4" ht="15.75" customHeight="1" x14ac:dyDescent="0.15">
      <c r="A68" s="9"/>
    </row>
    <row r="69" spans="1:4" ht="15.75" customHeight="1" x14ac:dyDescent="0.15">
      <c r="A69" s="9"/>
    </row>
    <row r="70" spans="1:4" ht="15.75" customHeight="1" x14ac:dyDescent="0.15">
      <c r="A70" s="9"/>
    </row>
    <row r="71" spans="1:4" ht="15.75" customHeight="1" x14ac:dyDescent="0.15">
      <c r="A71" s="9"/>
    </row>
    <row r="72" spans="1:4" ht="15.75" customHeight="1" x14ac:dyDescent="0.15">
      <c r="A72" s="9"/>
    </row>
    <row r="73" spans="1:4" ht="15.75" customHeight="1" x14ac:dyDescent="0.15">
      <c r="A73" s="9"/>
    </row>
    <row r="74" spans="1:4" ht="15.75" customHeight="1" x14ac:dyDescent="0.15">
      <c r="A74" s="9"/>
    </row>
    <row r="75" spans="1:4" ht="15.75" customHeight="1" x14ac:dyDescent="0.15">
      <c r="A75" s="9"/>
    </row>
    <row r="76" spans="1:4" ht="15.75" customHeight="1" x14ac:dyDescent="0.15">
      <c r="A76" s="9"/>
    </row>
    <row r="77" spans="1:4" ht="15.75" customHeight="1" x14ac:dyDescent="0.15">
      <c r="A77" s="9"/>
    </row>
    <row r="78" spans="1:4" ht="15.75" customHeight="1" x14ac:dyDescent="0.15">
      <c r="A78" s="9"/>
    </row>
    <row r="79" spans="1:4" ht="15.75" customHeight="1" x14ac:dyDescent="0.15">
      <c r="A79" s="9"/>
    </row>
    <row r="80" spans="1:4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" zoomScaleNormal="100" workbookViewId="0">
      <selection activeCell="E10" sqref="E10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15">
      <c r="B3" s="5" t="s">
        <v>215</v>
      </c>
      <c r="C3" s="6"/>
      <c r="D3" s="190">
        <v>4434160</v>
      </c>
      <c r="E3" s="191" t="str">
        <f>IF((C49-I49)=D3,"", "Error!")</f>
        <v/>
      </c>
      <c r="F3" s="6"/>
      <c r="G3" s="6"/>
      <c r="H3" s="112" t="s">
        <v>216</v>
      </c>
      <c r="I3" s="163">
        <v>4434160</v>
      </c>
      <c r="K3" s="43"/>
    </row>
    <row r="4" spans="1:11" ht="15" customHeight="1" x14ac:dyDescent="0.15">
      <c r="B4" s="5" t="s">
        <v>193</v>
      </c>
      <c r="C4" s="6"/>
      <c r="D4" s="186">
        <f>D3-I3</f>
        <v>0</v>
      </c>
      <c r="E4" s="90"/>
      <c r="F4" s="6"/>
      <c r="G4" s="6"/>
      <c r="H4" s="38" t="s">
        <v>71</v>
      </c>
      <c r="I4" s="139">
        <f>(I3*Dashboard!I12*Data!C4)/Dashboard!I5</f>
        <v>2.4274022483927737</v>
      </c>
      <c r="K4" s="43"/>
    </row>
    <row r="5" spans="1:11" ht="15" customHeight="1" x14ac:dyDescent="0.15">
      <c r="C5" s="6"/>
      <c r="D5" s="6"/>
      <c r="E5" s="18" t="s">
        <v>72</v>
      </c>
      <c r="I5" s="6"/>
      <c r="K5" s="43"/>
    </row>
    <row r="6" spans="1:11" ht="15" customHeight="1" thickBot="1" x14ac:dyDescent="0.2">
      <c r="B6" s="37" t="s">
        <v>317</v>
      </c>
      <c r="C6" s="6"/>
      <c r="D6" s="193">
        <f>E49-I49-E53</f>
        <v>3377290.5999999996</v>
      </c>
      <c r="E6" s="149">
        <f>1-D6/D3</f>
        <v>0.23834715030580778</v>
      </c>
      <c r="F6" s="6"/>
      <c r="G6" s="6"/>
      <c r="H6" s="3" t="s">
        <v>256</v>
      </c>
      <c r="I6" s="184">
        <f>C28/I28</f>
        <v>8.8556808649454748</v>
      </c>
      <c r="J6" s="6"/>
      <c r="K6" s="43"/>
    </row>
    <row r="7" spans="1:11" ht="15" customHeight="1" thickTop="1" x14ac:dyDescent="0.15">
      <c r="B7" s="32" t="s">
        <v>318</v>
      </c>
      <c r="C7" s="6"/>
      <c r="D7" s="187">
        <f>MAX((D6*Exchange_Rate*Data!C4)/Common_Shares, 0)</f>
        <v>1.8488378398424457</v>
      </c>
      <c r="E7" s="18" t="str">
        <f>Dashboard!J4</f>
        <v>HKD</v>
      </c>
      <c r="H7" s="3" t="s">
        <v>257</v>
      </c>
      <c r="I7" s="184">
        <f>C25/I28</f>
        <v>0.42123683474694751</v>
      </c>
      <c r="J7" s="6"/>
      <c r="K7" s="77"/>
    </row>
    <row r="8" spans="1:11" ht="15" customHeight="1" x14ac:dyDescent="0.15">
      <c r="C8" s="6"/>
      <c r="D8" s="6"/>
      <c r="E8" s="6"/>
      <c r="H8" s="3" t="s">
        <v>258</v>
      </c>
      <c r="I8" s="184">
        <f>C24/I28</f>
        <v>8.4212321744803802</v>
      </c>
      <c r="K8" s="43"/>
    </row>
    <row r="9" spans="1:11" ht="15" customHeight="1" x14ac:dyDescent="0.2">
      <c r="A9" s="4"/>
      <c r="B9" s="111" t="s">
        <v>211</v>
      </c>
      <c r="C9" s="84"/>
      <c r="D9" s="188">
        <v>45107</v>
      </c>
      <c r="E9" s="189" t="s">
        <v>407</v>
      </c>
      <c r="F9" s="84"/>
      <c r="G9" s="84"/>
      <c r="H9" s="84"/>
      <c r="I9" s="84"/>
      <c r="K9" s="43"/>
    </row>
    <row r="10" spans="1:11" ht="15" customHeight="1" x14ac:dyDescent="0.15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15">
      <c r="B11" s="5" t="s">
        <v>78</v>
      </c>
      <c r="C11" s="179">
        <v>1521132</v>
      </c>
      <c r="D11" s="180">
        <v>1</v>
      </c>
      <c r="E11" s="51">
        <f t="shared" ref="E11:E21" si="0">C11*D11</f>
        <v>1521132</v>
      </c>
      <c r="F11" s="6"/>
      <c r="G11" s="6"/>
      <c r="H11" s="5" t="s">
        <v>79</v>
      </c>
      <c r="I11" s="179">
        <v>74134</v>
      </c>
      <c r="J11" s="6"/>
      <c r="K11" s="43"/>
    </row>
    <row r="12" spans="1:11" ht="14" x14ac:dyDescent="0.15">
      <c r="B12" s="3" t="s">
        <v>80</v>
      </c>
      <c r="C12" s="179">
        <v>0</v>
      </c>
      <c r="D12" s="180">
        <v>1</v>
      </c>
      <c r="E12" s="51">
        <f t="shared" si="0"/>
        <v>0</v>
      </c>
      <c r="F12" s="6"/>
      <c r="G12" s="6"/>
      <c r="H12" s="5" t="s">
        <v>81</v>
      </c>
      <c r="I12" s="179">
        <v>18077</v>
      </c>
      <c r="J12" s="6"/>
      <c r="K12" s="43"/>
    </row>
    <row r="13" spans="1:11" ht="14" x14ac:dyDescent="0.15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 x14ac:dyDescent="0.15">
      <c r="B14" s="5" t="s">
        <v>84</v>
      </c>
      <c r="C14" s="179">
        <f>178006+107890</f>
        <v>285896</v>
      </c>
      <c r="D14" s="180">
        <v>0.7</v>
      </c>
      <c r="E14" s="51">
        <f t="shared" si="0"/>
        <v>200127.19999999998</v>
      </c>
      <c r="F14" s="6"/>
      <c r="G14" s="6"/>
      <c r="H14" s="6" t="s">
        <v>343</v>
      </c>
      <c r="I14" s="179">
        <v>0</v>
      </c>
      <c r="J14" s="6"/>
      <c r="K14" s="47"/>
    </row>
    <row r="15" spans="1:11" ht="14" x14ac:dyDescent="0.15">
      <c r="B15" s="5" t="s">
        <v>86</v>
      </c>
      <c r="C15" s="179">
        <v>0</v>
      </c>
      <c r="D15" s="180">
        <v>0.5</v>
      </c>
      <c r="E15" s="51">
        <f t="shared" si="0"/>
        <v>0</v>
      </c>
      <c r="F15" s="6"/>
      <c r="G15" s="6"/>
      <c r="H15" s="5" t="s">
        <v>87</v>
      </c>
      <c r="I15" s="130">
        <f>I28-SUM(I11:I14)</f>
        <v>122369</v>
      </c>
      <c r="J15" s="6"/>
    </row>
    <row r="16" spans="1:11" ht="14" x14ac:dyDescent="0.15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 x14ac:dyDescent="0.15">
      <c r="B17" s="5" t="s">
        <v>342</v>
      </c>
      <c r="C17" s="179">
        <f>62793+27596</f>
        <v>90389</v>
      </c>
      <c r="D17" s="180">
        <v>0.9</v>
      </c>
      <c r="E17" s="51">
        <f t="shared" si="0"/>
        <v>81350.100000000006</v>
      </c>
      <c r="F17" s="6"/>
      <c r="G17" s="6"/>
      <c r="H17" s="5"/>
      <c r="I17" s="94"/>
      <c r="J17" s="6"/>
    </row>
    <row r="18" spans="2:10" ht="14" x14ac:dyDescent="0.15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 x14ac:dyDescent="0.15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 x14ac:dyDescent="0.15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 x14ac:dyDescent="0.15">
      <c r="B21" s="5" t="s">
        <v>91</v>
      </c>
      <c r="C21" s="179">
        <v>2835</v>
      </c>
      <c r="D21" s="180">
        <v>0.95</v>
      </c>
      <c r="E21" s="51">
        <f t="shared" si="0"/>
        <v>2693.25</v>
      </c>
      <c r="F21" s="6"/>
      <c r="G21" s="6"/>
      <c r="H21" s="5"/>
      <c r="I21" s="94"/>
    </row>
    <row r="22" spans="2:10" ht="15" customHeight="1" x14ac:dyDescent="0.15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15">
      <c r="C23" s="6"/>
      <c r="D23" s="6"/>
      <c r="E23" s="6"/>
      <c r="F23" s="283" t="s">
        <v>383</v>
      </c>
      <c r="G23" s="6"/>
      <c r="H23" s="6"/>
      <c r="I23" s="6"/>
    </row>
    <row r="24" spans="2:10" ht="15" customHeight="1" x14ac:dyDescent="0.15">
      <c r="B24" s="41" t="s">
        <v>373</v>
      </c>
      <c r="C24" s="182">
        <f>SUM(C11:C14)</f>
        <v>1807028</v>
      </c>
      <c r="D24" s="183">
        <f>IF(E24=0,0,E24/C24)</f>
        <v>0.95253598726749111</v>
      </c>
      <c r="E24" s="51">
        <f>SUM(E11:E14)</f>
        <v>1721259.2</v>
      </c>
      <c r="F24" s="233">
        <f>E24/$E$28</f>
        <v>0.95344639046790236</v>
      </c>
      <c r="G24" s="6"/>
      <c r="H24" s="3" t="s">
        <v>381</v>
      </c>
      <c r="I24" s="312">
        <f>I11+I12+I13</f>
        <v>92211</v>
      </c>
    </row>
    <row r="25" spans="2:10" ht="15" customHeight="1" x14ac:dyDescent="0.15">
      <c r="B25" s="41" t="s">
        <v>377</v>
      </c>
      <c r="C25" s="182">
        <f>SUM(C15:C17)</f>
        <v>90389</v>
      </c>
      <c r="D25" s="183">
        <f>IF(E25=0,0,E25/C25)</f>
        <v>0.9</v>
      </c>
      <c r="E25" s="51">
        <f>SUM(E15:E17)</f>
        <v>81350.100000000006</v>
      </c>
      <c r="F25" s="233">
        <f t="shared" ref="F25:F27" si="2">E25/$E$28</f>
        <v>4.5061754330319871E-2</v>
      </c>
      <c r="G25" s="6"/>
      <c r="H25" s="41" t="s">
        <v>384</v>
      </c>
      <c r="I25" s="184">
        <f>E28/I28</f>
        <v>8.4131911175319232</v>
      </c>
    </row>
    <row r="26" spans="2:10" ht="15" customHeight="1" x14ac:dyDescent="0.15">
      <c r="B26" s="41" t="s">
        <v>375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18.666527854594353</v>
      </c>
      <c r="J26" s="13" t="str">
        <f>IF(I26&lt;1,"Liquidity Problem!","")</f>
        <v/>
      </c>
    </row>
    <row r="27" spans="2:10" ht="15" customHeight="1" x14ac:dyDescent="0.15">
      <c r="B27" s="41" t="s">
        <v>376</v>
      </c>
      <c r="C27" s="305">
        <f>C21+C22</f>
        <v>2835</v>
      </c>
      <c r="D27" s="183">
        <f t="shared" si="3"/>
        <v>0.95</v>
      </c>
      <c r="E27" s="51">
        <f>E21+E22</f>
        <v>2693.25</v>
      </c>
      <c r="F27" s="233">
        <f t="shared" si="2"/>
        <v>1.4918552017776743E-3</v>
      </c>
      <c r="G27" s="6"/>
      <c r="H27" s="41" t="s">
        <v>263</v>
      </c>
      <c r="I27" s="184">
        <f>(E25+E24)/$I$28</f>
        <v>8.4006398545996834</v>
      </c>
      <c r="J27" s="13" t="str">
        <f>IF(OR(I27&lt;0.75,C28&lt;I28),"Liquidity Problem!","")</f>
        <v/>
      </c>
    </row>
    <row r="28" spans="2:10" ht="15" customHeight="1" x14ac:dyDescent="0.15">
      <c r="B28" s="306" t="s">
        <v>93</v>
      </c>
      <c r="C28" s="307">
        <f>SUM(C24:C27)</f>
        <v>1900252</v>
      </c>
      <c r="D28" s="166">
        <f t="shared" ref="D28" si="4">E28/C28</f>
        <v>0.95003323243443505</v>
      </c>
      <c r="E28" s="212">
        <f>SUM(E24:E27)</f>
        <v>1805302.55</v>
      </c>
      <c r="F28" s="6"/>
      <c r="G28" s="6"/>
      <c r="H28" s="306" t="s">
        <v>53</v>
      </c>
      <c r="I28" s="190">
        <v>214580</v>
      </c>
      <c r="J28" s="68">
        <f>IF(J26="",1,0)+IF(J27="",1,0)+IF(J46="",1,0)+IF(J47="",1,0)</f>
        <v>4</v>
      </c>
    </row>
    <row r="29" spans="2:10" ht="15" customHeight="1" x14ac:dyDescent="0.15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15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15">
      <c r="B31" s="5" t="s">
        <v>96</v>
      </c>
      <c r="C31" s="179">
        <v>1814508</v>
      </c>
      <c r="D31" s="180">
        <v>0.7</v>
      </c>
      <c r="E31" s="51">
        <f t="shared" ref="E31:E42" si="5">C31*D31</f>
        <v>1270155.5999999999</v>
      </c>
      <c r="F31" s="6"/>
      <c r="G31" s="6"/>
      <c r="H31" s="5" t="s">
        <v>97</v>
      </c>
      <c r="I31" s="179">
        <v>2056</v>
      </c>
      <c r="J31" s="6"/>
    </row>
    <row r="32" spans="2:10" ht="15" customHeight="1" x14ac:dyDescent="0.15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 x14ac:dyDescent="0.15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344</v>
      </c>
      <c r="I33" s="179">
        <v>0</v>
      </c>
      <c r="J33" s="6"/>
    </row>
    <row r="34" spans="2:10" ht="14" x14ac:dyDescent="0.15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1736</v>
      </c>
      <c r="J34" s="6"/>
    </row>
    <row r="35" spans="2:10" ht="14" x14ac:dyDescent="0.15">
      <c r="B35" s="5" t="s">
        <v>103</v>
      </c>
      <c r="C35" s="179">
        <v>547346</v>
      </c>
      <c r="D35" s="180">
        <v>0.6</v>
      </c>
      <c r="E35" s="51">
        <f t="shared" si="5"/>
        <v>328407.59999999998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 x14ac:dyDescent="0.15">
      <c r="B36" s="5" t="s">
        <v>104</v>
      </c>
      <c r="C36" s="179">
        <v>190249</v>
      </c>
      <c r="D36" s="180">
        <v>0.7</v>
      </c>
      <c r="E36" s="51">
        <f t="shared" si="5"/>
        <v>133174.29999999999</v>
      </c>
      <c r="F36" s="181" t="s">
        <v>204</v>
      </c>
      <c r="G36" s="58">
        <f>IF(F36="Y",0,1)</f>
        <v>1</v>
      </c>
      <c r="H36" s="6"/>
      <c r="I36" s="6"/>
    </row>
    <row r="37" spans="2:10" ht="14" x14ac:dyDescent="0.15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15">
      <c r="B38" s="5" t="s">
        <v>250</v>
      </c>
      <c r="C38" s="179">
        <f>160020+19861</f>
        <v>179881</v>
      </c>
      <c r="D38" s="180">
        <v>0.3</v>
      </c>
      <c r="E38" s="51">
        <f t="shared" si="5"/>
        <v>53964.299999999996</v>
      </c>
      <c r="F38" s="6"/>
      <c r="G38" s="6"/>
      <c r="H38" s="6"/>
      <c r="I38" s="6"/>
    </row>
    <row r="39" spans="2:10" ht="14" x14ac:dyDescent="0.15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15">
      <c r="B40" s="5" t="s">
        <v>105</v>
      </c>
      <c r="C40" s="179">
        <v>14121</v>
      </c>
      <c r="D40" s="180">
        <v>0.1</v>
      </c>
      <c r="E40" s="51">
        <f t="shared" si="5"/>
        <v>1412.1000000000001</v>
      </c>
      <c r="F40" s="6"/>
      <c r="G40" s="6"/>
      <c r="H40" s="6"/>
      <c r="I40" s="6"/>
    </row>
    <row r="41" spans="2:10" ht="15" customHeight="1" x14ac:dyDescent="0.15">
      <c r="B41" s="5" t="s">
        <v>106</v>
      </c>
      <c r="C41" s="179">
        <v>3417</v>
      </c>
      <c r="D41" s="180">
        <v>0.95</v>
      </c>
      <c r="E41" s="51">
        <f t="shared" si="5"/>
        <v>3246.1499999999996</v>
      </c>
      <c r="F41" s="6"/>
      <c r="G41" s="6"/>
      <c r="H41" s="6"/>
      <c r="I41" s="6"/>
    </row>
    <row r="42" spans="2:10" ht="15" customHeight="1" x14ac:dyDescent="0.15">
      <c r="B42" s="5" t="s">
        <v>107</v>
      </c>
      <c r="C42" s="179">
        <v>2758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15">
      <c r="C43" s="6"/>
      <c r="D43" s="6"/>
      <c r="E43" s="6"/>
      <c r="F43" s="6"/>
      <c r="G43" s="6"/>
      <c r="H43" s="6"/>
      <c r="I43" s="6"/>
    </row>
    <row r="44" spans="2:10" ht="15" customHeight="1" x14ac:dyDescent="0.15">
      <c r="B44" s="41" t="s">
        <v>374</v>
      </c>
      <c r="C44" s="182">
        <f>SUM(C30:C31)</f>
        <v>1814508</v>
      </c>
      <c r="D44" s="183">
        <f>IF(E44=0,0,E44/C44)</f>
        <v>0.7</v>
      </c>
      <c r="E44" s="51">
        <f>SUM(E30:E31)</f>
        <v>1270155.5999999999</v>
      </c>
      <c r="F44" s="233"/>
      <c r="G44" s="6"/>
      <c r="H44" s="3" t="s">
        <v>382</v>
      </c>
      <c r="I44" s="312">
        <f>I30+I31+I32</f>
        <v>2056</v>
      </c>
    </row>
    <row r="45" spans="2:10" ht="15" customHeight="1" x14ac:dyDescent="0.15">
      <c r="B45" s="41" t="s">
        <v>378</v>
      </c>
      <c r="C45" s="182">
        <f>SUM(C32:C35)</f>
        <v>547346</v>
      </c>
      <c r="D45" s="183">
        <f>IF(E45=0,0,E45/C45)</f>
        <v>0.6</v>
      </c>
      <c r="E45" s="51">
        <f>SUM(E32:E35)</f>
        <v>328407.59999999998</v>
      </c>
      <c r="F45" s="233"/>
      <c r="G45" s="6"/>
    </row>
    <row r="46" spans="2:10" ht="15" customHeight="1" x14ac:dyDescent="0.15">
      <c r="B46" s="41" t="s">
        <v>379</v>
      </c>
      <c r="C46" s="182">
        <f>C36+C37+C38+C39</f>
        <v>370130</v>
      </c>
      <c r="D46" s="183">
        <f t="shared" ref="D46:D47" si="6">IF(E46=0,0,E46/C46)</f>
        <v>0.50560235592899783</v>
      </c>
      <c r="E46" s="51">
        <f>E36+E37+E38+E39</f>
        <v>187138.59999999998</v>
      </c>
      <c r="F46" s="6"/>
      <c r="G46" s="6"/>
      <c r="H46" s="41" t="s">
        <v>260</v>
      </c>
      <c r="I46" s="184">
        <f>(E44+E24)/D55</f>
        <v>31.733425270773438</v>
      </c>
      <c r="J46" s="13" t="str">
        <f>IF(I46&lt;1,"Liquidity Problem!","")</f>
        <v/>
      </c>
    </row>
    <row r="47" spans="2:10" ht="15" customHeight="1" x14ac:dyDescent="0.15">
      <c r="B47" s="41" t="s">
        <v>380</v>
      </c>
      <c r="C47" s="182">
        <f>C40+C41+C42</f>
        <v>20296</v>
      </c>
      <c r="D47" s="183">
        <f t="shared" si="6"/>
        <v>0.22951566811194324</v>
      </c>
      <c r="E47" s="51">
        <f>E40+E41+E42</f>
        <v>4658.25</v>
      </c>
      <c r="F47" s="6"/>
      <c r="G47" s="6"/>
      <c r="H47" s="41" t="s">
        <v>264</v>
      </c>
      <c r="I47" s="184">
        <f>(E44+E45+E24+E25)/$I$49</f>
        <v>15.57513096917187</v>
      </c>
      <c r="J47" s="13" t="str">
        <f>IF(OR(I47&lt;0.5,C49&lt;I49),"Liquidity Problem!","")</f>
        <v/>
      </c>
    </row>
    <row r="48" spans="2:10" ht="15" customHeight="1" thickBot="1" x14ac:dyDescent="0.2">
      <c r="B48" s="308" t="s">
        <v>108</v>
      </c>
      <c r="C48" s="309">
        <f>SUM(C30:C42)</f>
        <v>2752280</v>
      </c>
      <c r="D48" s="310">
        <f>E48/C48</f>
        <v>0.65050069397009014</v>
      </c>
      <c r="E48" s="304">
        <f>SUM(E30:E42)</f>
        <v>1790360.0499999998</v>
      </c>
      <c r="F48" s="6"/>
      <c r="G48" s="6"/>
      <c r="H48" s="308" t="s">
        <v>109</v>
      </c>
      <c r="I48" s="311">
        <v>3792</v>
      </c>
      <c r="J48" s="13"/>
    </row>
    <row r="49" spans="2:10" ht="15" customHeight="1" thickTop="1" x14ac:dyDescent="0.15">
      <c r="B49" s="5" t="s">
        <v>370</v>
      </c>
      <c r="C49" s="182">
        <f>SUM(C44:C47)+C28</f>
        <v>4652532</v>
      </c>
      <c r="D49" s="149">
        <f>E49/C49</f>
        <v>0.77283995037540842</v>
      </c>
      <c r="E49" s="51">
        <f>E28+E48</f>
        <v>3595662.5999999996</v>
      </c>
      <c r="F49" s="6"/>
      <c r="G49" s="6"/>
      <c r="H49" s="5" t="s">
        <v>261</v>
      </c>
      <c r="I49" s="130">
        <f>I28+I48</f>
        <v>218372</v>
      </c>
      <c r="J49" s="6"/>
    </row>
    <row r="50" spans="2:10" ht="15" customHeight="1" x14ac:dyDescent="0.15">
      <c r="C50" s="6"/>
      <c r="D50" s="6"/>
      <c r="E50" s="6"/>
      <c r="I50" s="6"/>
    </row>
    <row r="51" spans="2:10" ht="14" x14ac:dyDescent="0.15">
      <c r="B51" s="17" t="s">
        <v>110</v>
      </c>
      <c r="C51" s="17"/>
      <c r="D51" s="31"/>
    </row>
    <row r="52" spans="2:10" ht="14" x14ac:dyDescent="0.15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 x14ac:dyDescent="0.15">
      <c r="B53" s="5" t="s">
        <v>181</v>
      </c>
      <c r="C53" s="51">
        <f>D4</f>
        <v>0</v>
      </c>
      <c r="D53" s="54">
        <f>IF(E53=0, 0,E53/C53)</f>
        <v>0</v>
      </c>
      <c r="E53" s="51">
        <f>MAX(C53,C53*Dashboard!I10)</f>
        <v>0</v>
      </c>
      <c r="F53" s="6"/>
      <c r="G53" s="6"/>
      <c r="H53" s="6"/>
      <c r="I53" s="95"/>
    </row>
    <row r="54" spans="2:10" ht="15" customHeight="1" x14ac:dyDescent="0.15">
      <c r="C54" s="6"/>
      <c r="D54" s="6"/>
      <c r="E54" s="6"/>
      <c r="F54" s="6"/>
      <c r="G54" s="6"/>
      <c r="H54" s="6"/>
      <c r="I54" s="6"/>
    </row>
    <row r="55" spans="2:10" thickBot="1" x14ac:dyDescent="0.2">
      <c r="B55" s="44" t="s">
        <v>221</v>
      </c>
      <c r="C55" s="5"/>
      <c r="D55" s="379">
        <f>D56+D57+D58</f>
        <v>94267</v>
      </c>
      <c r="E55" s="380"/>
      <c r="F55" s="5"/>
      <c r="G55" s="5"/>
      <c r="H55" s="6"/>
      <c r="I55" s="6"/>
    </row>
    <row r="56" spans="2:10" thickTop="1" x14ac:dyDescent="0.15">
      <c r="B56" s="37" t="s">
        <v>197</v>
      </c>
      <c r="C56" s="6"/>
      <c r="D56" s="376">
        <f>SUM(I11:I13)+SUM(I30:I32)</f>
        <v>94267</v>
      </c>
      <c r="E56" s="381"/>
      <c r="F56" s="5"/>
      <c r="G56" s="5"/>
      <c r="H56" s="6" t="s">
        <v>262</v>
      </c>
      <c r="I56" s="149">
        <f>D56/I3</f>
        <v>2.1259268948346472E-2</v>
      </c>
    </row>
    <row r="57" spans="2:10" ht="14" x14ac:dyDescent="0.15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 x14ac:dyDescent="0.15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 x14ac:dyDescent="0.15">
      <c r="C59" s="6"/>
      <c r="D59" s="6"/>
      <c r="E59" s="6"/>
      <c r="F59" s="6"/>
      <c r="G59" s="6"/>
      <c r="H59" s="6"/>
      <c r="I59" s="6"/>
    </row>
    <row r="60" spans="2:10" ht="14" x14ac:dyDescent="0.15">
      <c r="B60" s="44" t="s">
        <v>115</v>
      </c>
      <c r="C60" s="5"/>
      <c r="D60" s="283" t="s">
        <v>341</v>
      </c>
      <c r="E60" s="6"/>
      <c r="F60" s="15"/>
      <c r="G60" s="15"/>
      <c r="H60" s="6"/>
      <c r="I60" s="6"/>
    </row>
    <row r="61" spans="2:10" ht="15" customHeight="1" x14ac:dyDescent="0.15">
      <c r="B61" s="32" t="s">
        <v>198</v>
      </c>
      <c r="C61" s="192">
        <f>C14+C15+(C19*G19)+(C20*G20)+C31+C32+(C33*G33)+(C35*G35)+(C36*G36)+(C37*G37)</f>
        <v>2837999</v>
      </c>
      <c r="D61" s="149">
        <f>IF(E61=0,0,E61/C61)</f>
        <v>0.68071366480396922</v>
      </c>
      <c r="E61" s="130">
        <f>E14+E15+(E19*G19)+(E20*G20)+E31+E32+(E33*G33)+(E35*G35)+(E36*G36)+(E37*G37)</f>
        <v>1931864.7</v>
      </c>
      <c r="F61" s="6"/>
      <c r="G61" s="6"/>
      <c r="H61" s="6"/>
      <c r="I61" s="6"/>
    </row>
    <row r="62" spans="2:10" ht="14" x14ac:dyDescent="0.15">
      <c r="B62" s="32" t="s">
        <v>78</v>
      </c>
      <c r="C62" s="192">
        <f>C11+C12+C30</f>
        <v>1521132</v>
      </c>
      <c r="D62" s="54">
        <f>IF(E62=0,0,E62/C62)</f>
        <v>1</v>
      </c>
      <c r="E62" s="182">
        <f>E11+E12+E30</f>
        <v>1521132</v>
      </c>
      <c r="F62" s="6"/>
      <c r="G62" s="6"/>
      <c r="H62" s="6"/>
      <c r="I62" s="6"/>
    </row>
    <row r="63" spans="2:10" ht="14" x14ac:dyDescent="0.15">
      <c r="B63" s="32" t="s">
        <v>116</v>
      </c>
      <c r="C63" s="6"/>
      <c r="D63" s="376">
        <f>((Dashboard!I6*Data!C4)+D55+E53-C61-C62)</f>
        <v>575917.54239999969</v>
      </c>
      <c r="E63" s="376"/>
      <c r="F63" s="6"/>
      <c r="G63" s="6"/>
      <c r="H63" s="6"/>
      <c r="I63" s="6"/>
    </row>
    <row r="64" spans="2:10" ht="15" customHeight="1" x14ac:dyDescent="0.15">
      <c r="C64" s="6"/>
      <c r="D64" s="6"/>
      <c r="E64" s="6"/>
      <c r="F64" s="6"/>
      <c r="G64" s="6"/>
      <c r="H64" s="6"/>
      <c r="I64" s="6"/>
    </row>
    <row r="65" spans="2:9" ht="15" customHeight="1" x14ac:dyDescent="0.15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15">
      <c r="B66" s="3" t="s">
        <v>223</v>
      </c>
      <c r="C66" s="6"/>
      <c r="D66" s="384">
        <f>((C28-C11-C12-C14-C15-C16*G16-C19*G19-C20*G20)-I28)/Data!C7</f>
        <v>-0.20760833676906576</v>
      </c>
      <c r="E66" s="385"/>
      <c r="F66" s="6"/>
      <c r="G66" s="6"/>
      <c r="H66" s="6"/>
      <c r="I66" s="6"/>
    </row>
    <row r="67" spans="2:9" ht="15" customHeight="1" x14ac:dyDescent="0.15">
      <c r="B67" s="3" t="s">
        <v>222</v>
      </c>
      <c r="C67" s="6"/>
      <c r="D67" s="382">
        <v>0.1</v>
      </c>
      <c r="E67" s="383"/>
      <c r="F67" s="109" t="s">
        <v>209</v>
      </c>
      <c r="G67" s="6"/>
      <c r="H67" s="6"/>
      <c r="I67" s="6"/>
    </row>
    <row r="68" spans="2:9" ht="15" customHeight="1" x14ac:dyDescent="0.15">
      <c r="B68" s="117" t="s">
        <v>224</v>
      </c>
      <c r="C68" s="6"/>
      <c r="D68" s="382">
        <f>D67</f>
        <v>0.1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zoomScaleNormal="100" zoomScalePageLayoutView="80" workbookViewId="0">
      <selection activeCell="I8" sqref="I8"/>
    </sheetView>
  </sheetViews>
  <sheetFormatPr baseColWidth="10" defaultColWidth="12.5" defaultRowHeight="15" customHeight="1" x14ac:dyDescent="0.15"/>
  <cols>
    <col min="1" max="1" width="2.5" style="3" customWidth="1"/>
    <col min="2" max="5" width="26.83203125" style="3" customWidth="1"/>
    <col min="6" max="9" width="22.6640625" style="3" customWidth="1"/>
    <col min="10" max="10" width="2.5" style="3" customWidth="1"/>
    <col min="11" max="11" width="87.5" style="3" customWidth="1"/>
    <col min="12" max="16384" width="12.5" style="3"/>
  </cols>
  <sheetData>
    <row r="1" spans="1:12" ht="15" customHeight="1" x14ac:dyDescent="0.15">
      <c r="F1" s="6"/>
      <c r="G1" s="6"/>
      <c r="H1" s="6"/>
    </row>
    <row r="2" spans="1:12" ht="15.5" customHeight="1" x14ac:dyDescent="0.15">
      <c r="A2" s="4"/>
      <c r="B2" s="56" t="s">
        <v>208</v>
      </c>
      <c r="C2" s="56"/>
      <c r="D2" s="56"/>
      <c r="E2" s="316">
        <f>IF(I3="",IF(H3="",1,2),3)</f>
        <v>3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15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>
        <f>IF(H8="","",EOMONTH(EDATE(G3,12),0))</f>
        <v>45657</v>
      </c>
      <c r="I3" s="194">
        <f>IF(I15="","",EOMONTH(EDATE(H3,12),0))</f>
        <v>46022</v>
      </c>
      <c r="K3" s="42" t="s">
        <v>117</v>
      </c>
    </row>
    <row r="4" spans="1:12" ht="15.75" customHeight="1" x14ac:dyDescent="0.15">
      <c r="B4" s="118" t="s">
        <v>403</v>
      </c>
      <c r="C4" s="205">
        <v>1362455</v>
      </c>
      <c r="D4" s="205">
        <v>1013168</v>
      </c>
      <c r="E4" s="205">
        <v>926727</v>
      </c>
      <c r="F4" s="205">
        <v>549346</v>
      </c>
      <c r="G4" s="205"/>
      <c r="H4" s="206"/>
      <c r="I4" s="206"/>
      <c r="J4" s="6"/>
      <c r="K4" s="43"/>
      <c r="L4" s="36"/>
    </row>
    <row r="5" spans="1:12" ht="15.75" customHeight="1" x14ac:dyDescent="0.15">
      <c r="B5" s="118" t="s">
        <v>404</v>
      </c>
      <c r="C5" s="196">
        <v>186200</v>
      </c>
      <c r="D5" s="196">
        <v>80218</v>
      </c>
      <c r="E5" s="196">
        <v>154452</v>
      </c>
      <c r="F5" s="196">
        <v>34293</v>
      </c>
      <c r="G5" s="196"/>
      <c r="H5" s="197"/>
      <c r="I5" s="197"/>
      <c r="J5" s="6"/>
      <c r="K5" s="43"/>
      <c r="L5" s="36"/>
    </row>
    <row r="6" spans="1:12" ht="15.75" customHeight="1" x14ac:dyDescent="0.15">
      <c r="B6" s="118" t="s">
        <v>402</v>
      </c>
      <c r="C6" s="196">
        <v>55263</v>
      </c>
      <c r="D6" s="196">
        <v>1468063</v>
      </c>
      <c r="E6" s="196">
        <v>200470</v>
      </c>
      <c r="F6" s="196">
        <v>904</v>
      </c>
      <c r="G6" s="196"/>
      <c r="H6" s="197"/>
      <c r="I6" s="197"/>
      <c r="J6" s="6"/>
      <c r="K6" s="43"/>
      <c r="L6" s="36"/>
    </row>
    <row r="7" spans="1:12" ht="15.75" customHeight="1" x14ac:dyDescent="0.15">
      <c r="B7" s="5" t="s">
        <v>118</v>
      </c>
      <c r="C7" s="198">
        <f>Data!F7</f>
        <v>1603918</v>
      </c>
      <c r="D7" s="198">
        <f>Data!E7</f>
        <v>2561449</v>
      </c>
      <c r="E7" s="198">
        <f>Data!D7</f>
        <v>1281649</v>
      </c>
      <c r="F7" s="198">
        <f>Data!C7</f>
        <v>584543</v>
      </c>
      <c r="G7" s="200">
        <f>F7*0.83</f>
        <v>485170.69</v>
      </c>
      <c r="H7" s="200">
        <f>G7*2</f>
        <v>970341.38</v>
      </c>
      <c r="I7" s="201">
        <f>H7*(1+I8)</f>
        <v>1261443.794</v>
      </c>
      <c r="J7" s="6"/>
      <c r="K7" s="43"/>
      <c r="L7" s="36"/>
    </row>
    <row r="8" spans="1:12" ht="15.75" customHeight="1" x14ac:dyDescent="0.15">
      <c r="B8" s="14" t="s">
        <v>348</v>
      </c>
      <c r="C8" s="285"/>
      <c r="D8" s="171">
        <f>D7/C7-1</f>
        <v>0.59699498353407088</v>
      </c>
      <c r="E8" s="171">
        <f>E7/D7-1</f>
        <v>-0.49963907147868258</v>
      </c>
      <c r="F8" s="171">
        <f>Data!C8</f>
        <v>-0.54391334913069023</v>
      </c>
      <c r="G8" s="149">
        <f>G7/F7-1</f>
        <v>-0.17000000000000004</v>
      </c>
      <c r="H8" s="149">
        <f>H7/G7-1</f>
        <v>1</v>
      </c>
      <c r="I8" s="180">
        <v>0.3</v>
      </c>
      <c r="J8" s="6"/>
      <c r="K8" s="43"/>
      <c r="L8" s="36"/>
    </row>
    <row r="9" spans="1:12" ht="15.75" customHeight="1" x14ac:dyDescent="0.15">
      <c r="B9" s="8" t="s">
        <v>119</v>
      </c>
      <c r="C9" s="202">
        <f>Data!F9</f>
        <v>1237790</v>
      </c>
      <c r="D9" s="202">
        <f>Data!E9</f>
        <v>1214876</v>
      </c>
      <c r="E9" s="202">
        <f>Data!D9</f>
        <v>939526</v>
      </c>
      <c r="F9" s="202">
        <f>Data!C9</f>
        <v>603161</v>
      </c>
      <c r="G9" s="203">
        <f>(151092+119110+7113+8312)*2</f>
        <v>571254</v>
      </c>
      <c r="H9" s="204">
        <f>IF(H7="","",H7*(1-H10))</f>
        <v>737459.44880000001</v>
      </c>
      <c r="I9" s="204">
        <f>IF(I7="","",I7*(1-I10))</f>
        <v>983926.15931999998</v>
      </c>
      <c r="J9" s="6"/>
      <c r="K9" s="77"/>
      <c r="L9" s="1"/>
    </row>
    <row r="10" spans="1:12" ht="15.75" customHeight="1" x14ac:dyDescent="0.15">
      <c r="B10" s="14" t="s">
        <v>44</v>
      </c>
      <c r="C10" s="96">
        <f t="shared" ref="C10:E10" si="0">(C7-C9)/C7</f>
        <v>0.22827102133650223</v>
      </c>
      <c r="D10" s="96">
        <f t="shared" si="0"/>
        <v>0.52570751945480854</v>
      </c>
      <c r="E10" s="96">
        <f t="shared" si="0"/>
        <v>0.26693970033917241</v>
      </c>
      <c r="F10" s="96">
        <f>(F7-F9)/F7</f>
        <v>-3.1850522544962477E-2</v>
      </c>
      <c r="G10" s="208">
        <f>(G7-G9)/G7</f>
        <v>-0.17742891682100581</v>
      </c>
      <c r="H10" s="208">
        <v>0.24</v>
      </c>
      <c r="I10" s="208">
        <v>0.22</v>
      </c>
      <c r="J10" s="6"/>
      <c r="K10" s="43"/>
    </row>
    <row r="11" spans="1:12" ht="15.75" customHeight="1" x14ac:dyDescent="0.15">
      <c r="B11" s="5" t="s">
        <v>347</v>
      </c>
      <c r="C11" s="51">
        <f>C7-C9</f>
        <v>366128</v>
      </c>
      <c r="D11" s="51">
        <f t="shared" ref="D11:E11" si="1">D7-D9</f>
        <v>1346573</v>
      </c>
      <c r="E11" s="51">
        <f t="shared" si="1"/>
        <v>342123</v>
      </c>
      <c r="F11" s="51">
        <f>F7-F9</f>
        <v>-18618</v>
      </c>
      <c r="G11" s="51">
        <f>G7-G9</f>
        <v>-86083.31</v>
      </c>
      <c r="H11" s="51">
        <f>IF(H8="","",H7-H9)</f>
        <v>232881.93119999999</v>
      </c>
      <c r="I11" s="51">
        <f>IF(I8="","",I7-I9)</f>
        <v>277517.63468000002</v>
      </c>
      <c r="J11" s="6"/>
      <c r="K11" s="43"/>
    </row>
    <row r="12" spans="1:12" ht="15.75" customHeight="1" x14ac:dyDescent="0.15">
      <c r="B12" s="14" t="s">
        <v>46</v>
      </c>
      <c r="C12" s="54">
        <f>C13/C7</f>
        <v>7.0998642075218305E-2</v>
      </c>
      <c r="D12" s="54">
        <f t="shared" ref="D12:E12" si="2">D13/D7</f>
        <v>4.35971983045534E-2</v>
      </c>
      <c r="E12" s="54">
        <f t="shared" si="2"/>
        <v>7.7536049261537288E-2</v>
      </c>
      <c r="F12" s="54">
        <f>F13/F7</f>
        <v>0.20490537052021837</v>
      </c>
      <c r="G12" s="207">
        <f>F12</f>
        <v>0.20490537052021837</v>
      </c>
      <c r="H12" s="180">
        <f>H13/H7</f>
        <v>0.12343697019290263</v>
      </c>
      <c r="I12" s="180">
        <f>I13/I7</f>
        <v>9.4951515533002018E-2</v>
      </c>
      <c r="J12" s="6"/>
      <c r="K12" s="43"/>
    </row>
    <row r="13" spans="1:12" ht="15.75" customHeight="1" x14ac:dyDescent="0.15">
      <c r="B13" s="8" t="s">
        <v>120</v>
      </c>
      <c r="C13" s="198">
        <f>Data!F11</f>
        <v>113876</v>
      </c>
      <c r="D13" s="198">
        <f>Data!E11</f>
        <v>111672</v>
      </c>
      <c r="E13" s="198">
        <f>Data!D11</f>
        <v>99374</v>
      </c>
      <c r="F13" s="198">
        <f>Data!C11</f>
        <v>119776</v>
      </c>
      <c r="G13" s="161">
        <f>53552*2</f>
        <v>107104</v>
      </c>
      <c r="H13" s="161">
        <f>F13</f>
        <v>119776</v>
      </c>
      <c r="I13" s="161">
        <f>H13</f>
        <v>119776</v>
      </c>
      <c r="J13" s="6"/>
      <c r="K13" s="43"/>
    </row>
    <row r="14" spans="1:12" ht="15.75" customHeight="1" x14ac:dyDescent="0.15">
      <c r="B14" s="14" t="s">
        <v>47</v>
      </c>
      <c r="C14" s="166">
        <f t="shared" ref="C14:E14" si="3">C16/C7</f>
        <v>0.15727237926128393</v>
      </c>
      <c r="D14" s="166">
        <f t="shared" si="3"/>
        <v>0.48211032115025521</v>
      </c>
      <c r="E14" s="166">
        <f t="shared" si="3"/>
        <v>0.18940365107763513</v>
      </c>
      <c r="F14" s="166">
        <f>F16/F7</f>
        <v>-0.23675589306518083</v>
      </c>
      <c r="G14" s="166">
        <f>G16/G7</f>
        <v>-0.39818421430198103</v>
      </c>
      <c r="H14" s="166">
        <f>IF(H8="","",H16/H7)</f>
        <v>0.11656302980709736</v>
      </c>
      <c r="I14" s="166">
        <f>IF(I8="","",I16/I7)</f>
        <v>0.12504848446699798</v>
      </c>
      <c r="J14" s="6"/>
      <c r="K14" s="43"/>
      <c r="L14" s="36"/>
    </row>
    <row r="15" spans="1:12" ht="15.75" customHeight="1" x14ac:dyDescent="0.15">
      <c r="B15" s="14" t="s">
        <v>121</v>
      </c>
      <c r="C15" s="285"/>
      <c r="D15" s="171">
        <f t="shared" ref="D15:E15" si="4">D16/C16-1</f>
        <v>3.8955052883624308</v>
      </c>
      <c r="E15" s="171">
        <f t="shared" si="4"/>
        <v>-0.80342634753717102</v>
      </c>
      <c r="F15" s="171">
        <f>F16/E16-1</f>
        <v>-1.5701115143625719</v>
      </c>
      <c r="G15" s="149">
        <f>IF(ABS(F16+G16)=ABS(F16)+ABS(G16),IF(G16&lt;0,-1,1)*(G16-F16)/F16,"Turn")</f>
        <v>-0.39592258334898911</v>
      </c>
      <c r="H15" s="149" t="str">
        <f>IF(H8="","",IF(ABS(G16+H16)=ABS(G16)+ABS(H16),IF(H16&lt;0,-1,1)*(H16-G16)/G16,"Turn"))</f>
        <v>Turn</v>
      </c>
      <c r="I15" s="149">
        <f>IF(I8="","",IF(ABS(H16+I16)=ABS(H16)+ABS(I16),IF(I16&lt;0,-1,1)*(I16-H16)/H16,"Turn"))</f>
        <v>0.3946362759798403</v>
      </c>
      <c r="J15" s="6"/>
      <c r="K15" s="45"/>
      <c r="L15" s="46"/>
    </row>
    <row r="16" spans="1:12" ht="15.75" customHeight="1" x14ac:dyDescent="0.15">
      <c r="B16" s="5" t="s">
        <v>207</v>
      </c>
      <c r="C16" s="154">
        <f t="shared" ref="C16:D16" si="5">C11-C13</f>
        <v>252252</v>
      </c>
      <c r="D16" s="154">
        <f t="shared" si="5"/>
        <v>1234901</v>
      </c>
      <c r="E16" s="154">
        <f>E11-E13</f>
        <v>242749</v>
      </c>
      <c r="F16" s="154">
        <f>F11-F13</f>
        <v>-138394</v>
      </c>
      <c r="G16" s="154">
        <f>G11-G13</f>
        <v>-193187.31</v>
      </c>
      <c r="H16" s="154">
        <f>IF(H8="","",H11-H13)</f>
        <v>113105.93119999999</v>
      </c>
      <c r="I16" s="154">
        <f>IF(I8="","",I11-I13)</f>
        <v>157741.63468000002</v>
      </c>
      <c r="J16" s="6"/>
      <c r="K16" s="47"/>
      <c r="L16" s="35"/>
    </row>
    <row r="17" spans="2:11" ht="15.75" customHeight="1" x14ac:dyDescent="0.15">
      <c r="B17" s="209" t="s">
        <v>122</v>
      </c>
      <c r="C17" s="284"/>
      <c r="D17" s="284"/>
      <c r="E17" s="284"/>
      <c r="F17" s="211">
        <v>0.25</v>
      </c>
      <c r="G17" s="166">
        <f>IF(G16="","",F17)</f>
        <v>0.25</v>
      </c>
      <c r="H17" s="166">
        <f>IF(H16="","",G17)</f>
        <v>0.25</v>
      </c>
      <c r="I17" s="166">
        <f>IF(I16="","",H17)</f>
        <v>0.25</v>
      </c>
      <c r="K17" s="43"/>
    </row>
    <row r="18" spans="2:11" ht="15.75" customHeight="1" x14ac:dyDescent="0.15">
      <c r="B18" s="14" t="s">
        <v>253</v>
      </c>
      <c r="C18" s="285"/>
      <c r="D18" s="285"/>
      <c r="E18" s="285"/>
      <c r="F18" s="171">
        <f>F19/F7</f>
        <v>-0.23675589306518083</v>
      </c>
      <c r="G18" s="149">
        <f>G19/G7</f>
        <v>-0.39818421430198103</v>
      </c>
      <c r="H18" s="149">
        <f>IF(H7="","",H19/H7)</f>
        <v>8.742227235532303E-2</v>
      </c>
      <c r="I18" s="149">
        <f>IF(I7="","",I19/I7)</f>
        <v>9.3786363350248494E-2</v>
      </c>
    </row>
    <row r="19" spans="2:11" ht="15.75" customHeight="1" x14ac:dyDescent="0.15">
      <c r="B19" s="85" t="s">
        <v>69</v>
      </c>
      <c r="C19" s="286"/>
      <c r="D19" s="286"/>
      <c r="E19" s="286"/>
      <c r="F19" s="51">
        <f>IF(F16&lt;=0,F16,F16*(1-F17))</f>
        <v>-138394</v>
      </c>
      <c r="G19" s="210">
        <f>IF(G16="","",IF(G16&lt;=0,G16,G16*(1-G17)))</f>
        <v>-193187.31</v>
      </c>
      <c r="H19" s="210">
        <f>IF(H16="","",IF(H16&lt;=0,H16,H16*(1-H17)))</f>
        <v>84829.448399999994</v>
      </c>
      <c r="I19" s="210">
        <f>IF(I16="","",IF(I16&lt;=0,I16,I16*(1-I17)))</f>
        <v>118306.22601000001</v>
      </c>
    </row>
    <row r="20" spans="2:11" ht="15.75" customHeight="1" x14ac:dyDescent="0.15">
      <c r="B20" s="14" t="s">
        <v>336</v>
      </c>
      <c r="C20" s="287"/>
      <c r="D20" s="287"/>
      <c r="E20" s="287"/>
      <c r="F20" s="212">
        <f>Data!C35</f>
        <v>0</v>
      </c>
      <c r="G20" s="213">
        <f>IF(G8&lt;=0,0,(G7-F7)*Asset_Model!$D$67)</f>
        <v>0</v>
      </c>
      <c r="H20" s="213">
        <f>IF(H7="","",IF(H8&lt;=0,0,(H7-G7)*Asset_Model!$D$67))</f>
        <v>48517.069000000003</v>
      </c>
      <c r="I20" s="213">
        <f>IF(I7="","",IF(I8&lt;=0,0,(I7-H7)*Asset_Model!$D$67))</f>
        <v>29110.241399999999</v>
      </c>
    </row>
    <row r="21" spans="2:11" ht="15.75" customHeight="1" x14ac:dyDescent="0.15">
      <c r="B21" s="318" t="s">
        <v>394</v>
      </c>
      <c r="C21" s="319"/>
      <c r="D21" s="319">
        <v>51677</v>
      </c>
      <c r="E21" s="319">
        <v>40849</v>
      </c>
      <c r="F21" s="319">
        <v>33445</v>
      </c>
      <c r="G21" s="320">
        <f>F21</f>
        <v>33445</v>
      </c>
      <c r="H21" s="320">
        <f>G21</f>
        <v>33445</v>
      </c>
      <c r="I21" s="320">
        <f>H21</f>
        <v>33445</v>
      </c>
    </row>
    <row r="22" spans="2:11" ht="15.75" customHeight="1" x14ac:dyDescent="0.15">
      <c r="B22" s="14" t="s">
        <v>392</v>
      </c>
      <c r="C22" s="288"/>
      <c r="D22" s="288"/>
      <c r="E22" s="288"/>
      <c r="F22" s="95">
        <f>Data!C33</f>
        <v>-7605</v>
      </c>
      <c r="G22" s="161">
        <v>0</v>
      </c>
      <c r="H22" s="161">
        <v>0</v>
      </c>
      <c r="I22" s="161">
        <v>0</v>
      </c>
    </row>
    <row r="23" spans="2:11" ht="15.75" customHeight="1" x14ac:dyDescent="0.15">
      <c r="B23" s="85" t="s">
        <v>339</v>
      </c>
      <c r="C23" s="289"/>
      <c r="D23" s="289"/>
      <c r="E23" s="289"/>
      <c r="F23" s="214">
        <f>F20-F21+F22</f>
        <v>-41050</v>
      </c>
      <c r="G23" s="214">
        <f>IF(G14="","",G20-G21+G22)</f>
        <v>-33445</v>
      </c>
      <c r="H23" s="214">
        <f>IF(H14="","",H20-H21+H22)</f>
        <v>15072.069000000003</v>
      </c>
      <c r="I23" s="214">
        <f>IF(I14="","",I20-I21+I22)</f>
        <v>-4334.758600000001</v>
      </c>
    </row>
    <row r="24" spans="2:11" ht="15.75" customHeight="1" x14ac:dyDescent="0.15">
      <c r="B24" s="14" t="s">
        <v>333</v>
      </c>
      <c r="C24" s="285"/>
      <c r="D24" s="285"/>
      <c r="E24" s="285"/>
      <c r="F24" s="171">
        <f>AVERAGE(Data!C54:E54)</f>
        <v>8.107941696106101E-2</v>
      </c>
      <c r="G24" s="387"/>
      <c r="H24" s="388"/>
      <c r="I24" s="389"/>
    </row>
    <row r="25" spans="2:11" ht="15.75" customHeight="1" x14ac:dyDescent="0.15">
      <c r="B25" s="84" t="s">
        <v>123</v>
      </c>
      <c r="C25" s="289"/>
      <c r="D25" s="289"/>
      <c r="E25" s="289"/>
      <c r="F25" s="214">
        <f>F19-F23</f>
        <v>-97344</v>
      </c>
      <c r="G25" s="214">
        <f>G19-G23</f>
        <v>-159742.31</v>
      </c>
      <c r="H25" s="214">
        <f>IF(H19="","",H19-H23)</f>
        <v>69757.379399999991</v>
      </c>
      <c r="I25" s="214">
        <f>IF(I19="","",I19-I23)</f>
        <v>122640.98461000001</v>
      </c>
    </row>
    <row r="26" spans="2:11" ht="15.75" customHeight="1" x14ac:dyDescent="0.15"/>
    <row r="27" spans="2:11" ht="15.75" customHeight="1" x14ac:dyDescent="0.15"/>
    <row r="28" spans="2:11" ht="15.75" customHeight="1" x14ac:dyDescent="0.15"/>
    <row r="29" spans="2:11" ht="15.75" customHeight="1" x14ac:dyDescent="0.15"/>
    <row r="30" spans="2:11" ht="15.75" customHeight="1" x14ac:dyDescent="0.15"/>
    <row r="31" spans="2:11" ht="15.75" customHeight="1" x14ac:dyDescent="0.15"/>
    <row r="32" spans="2:1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</sheetData>
  <mergeCells count="1">
    <mergeCell ref="G24:I24"/>
  </mergeCells>
  <phoneticPr fontId="31" type="noConversion"/>
  <conditionalFormatting sqref="C21:G21">
    <cfRule type="containsBlanks" priority="2">
      <formula>LEN(TRIM(C21))=0</formula>
    </cfRule>
  </conditionalFormatting>
  <conditionalFormatting sqref="C21:I21">
    <cfRule type="containsBlanks" dxfId="13" priority="1">
      <formula>LEN(TRIM(C21))=0</formula>
    </cfRule>
  </conditionalFormatting>
  <conditionalFormatting sqref="G17:G19">
    <cfRule type="containsBlanks" dxfId="12" priority="22">
      <formula>LEN(TRIM(G17))=0</formula>
    </cfRule>
  </conditionalFormatting>
  <conditionalFormatting sqref="G24">
    <cfRule type="containsBlanks" dxfId="11" priority="11">
      <formula>LEN(TRIM(G24))=0</formula>
    </cfRule>
  </conditionalFormatting>
  <conditionalFormatting sqref="H9:H12 H14:H16">
    <cfRule type="containsBlanks" priority="31">
      <formula>LEN(TRIM(H9))=0</formula>
    </cfRule>
  </conditionalFormatting>
  <conditionalFormatting sqref="H9:H20">
    <cfRule type="containsBlanks" dxfId="10" priority="30">
      <formula>LEN(TRIM(H9))=0</formula>
    </cfRule>
  </conditionalFormatting>
  <conditionalFormatting sqref="H19:I19">
    <cfRule type="containsBlanks" dxfId="9" priority="24">
      <formula>LEN(TRIM(H19))=0</formula>
    </cfRule>
  </conditionalFormatting>
  <conditionalFormatting sqref="H20:I23">
    <cfRule type="containsBlanks" priority="4">
      <formula>LEN(TRIM(H20))=0</formula>
    </cfRule>
    <cfRule type="containsBlanks" dxfId="8" priority="3">
      <formula>LEN(TRIM(H20))=0</formula>
    </cfRule>
  </conditionalFormatting>
  <conditionalFormatting sqref="H25:I25">
    <cfRule type="containsBlanks" priority="13">
      <formula>LEN(TRIM(H25))=0</formula>
    </cfRule>
    <cfRule type="containsBlanks" dxfId="7" priority="12">
      <formula>LEN(TRIM(H25))=0</formula>
    </cfRule>
  </conditionalFormatting>
  <conditionalFormatting sqref="I8:I16">
    <cfRule type="containsBlanks" priority="27">
      <formula>LEN(TRIM(I8))=0</formula>
    </cfRule>
  </conditionalFormatting>
  <conditionalFormatting sqref="I8:I20">
    <cfRule type="containsBlanks" dxfId="6" priority="2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baseColWidth="10" defaultColWidth="8.83203125" defaultRowHeight="13" x14ac:dyDescent="0.15"/>
  <cols>
    <col min="1" max="1" width="5" customWidth="1"/>
    <col min="2" max="2" width="23.33203125" customWidth="1"/>
    <col min="3" max="7" width="13.33203125" customWidth="1"/>
    <col min="8" max="19" width="12.6640625" customWidth="1"/>
  </cols>
  <sheetData>
    <row r="18" spans="2:19" ht="16" x14ac:dyDescent="0.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 x14ac:dyDescent="0.15">
      <c r="B19" s="3" t="s">
        <v>385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 x14ac:dyDescent="0.15">
      <c r="B20" s="3" t="s">
        <v>386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 x14ac:dyDescent="0.15">
      <c r="B21" s="3" t="s">
        <v>387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 x14ac:dyDescent="0.15">
      <c r="B22" s="3" t="s">
        <v>388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 x14ac:dyDescent="0.15">
      <c r="B23" s="3" t="s">
        <v>346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1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1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1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x14ac:dyDescent="0.15">
      <c r="B46" s="297" t="s">
        <v>349</v>
      </c>
    </row>
    <row r="47" spans="2:13" ht="16" x14ac:dyDescent="0.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1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1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1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x14ac:dyDescent="0.15">
      <c r="B71" s="297" t="s">
        <v>359</v>
      </c>
    </row>
    <row r="72" spans="2:13" ht="16" x14ac:dyDescent="0.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15">
      <c r="B73" s="292" t="s">
        <v>350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15">
      <c r="B74" s="292" t="s">
        <v>351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15">
      <c r="B75" s="292" t="s">
        <v>352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15">
      <c r="B76" s="292" t="s">
        <v>353</v>
      </c>
      <c r="J76" s="296"/>
      <c r="K76" s="296"/>
      <c r="L76" s="296"/>
      <c r="M76" s="296"/>
    </row>
    <row r="78" spans="2:13" x14ac:dyDescent="0.15">
      <c r="B78" s="297" t="s">
        <v>358</v>
      </c>
    </row>
    <row r="79" spans="2:13" ht="16" x14ac:dyDescent="0.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15">
      <c r="B80" s="292" t="s">
        <v>356</v>
      </c>
      <c r="J80" s="295"/>
      <c r="K80" s="295"/>
      <c r="L80" s="295"/>
      <c r="M80" s="295"/>
    </row>
    <row r="81" spans="2:13" x14ac:dyDescent="0.15">
      <c r="B81" s="292" t="s">
        <v>357</v>
      </c>
      <c r="J81" s="295"/>
      <c r="K81" s="295"/>
      <c r="L81" s="295"/>
      <c r="M81" s="295"/>
    </row>
    <row r="82" spans="2:13" x14ac:dyDescent="0.15">
      <c r="B82" s="292" t="s">
        <v>355</v>
      </c>
      <c r="J82" s="296"/>
      <c r="K82" s="296"/>
      <c r="L82" s="296"/>
      <c r="M82" s="296"/>
    </row>
    <row r="103" spans="2:13" ht="16" x14ac:dyDescent="0.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15">
      <c r="B104" t="s">
        <v>360</v>
      </c>
      <c r="J104" s="298">
        <f>Data!F19</f>
        <v>513409</v>
      </c>
      <c r="K104" s="298">
        <f>Data!E19</f>
        <v>1379475</v>
      </c>
      <c r="L104" s="298">
        <f>Data!D19</f>
        <v>457813</v>
      </c>
      <c r="M104" s="298">
        <f>Data!C19</f>
        <v>-544315</v>
      </c>
    </row>
    <row r="105" spans="2:13" x14ac:dyDescent="0.15">
      <c r="B105" t="s">
        <v>361</v>
      </c>
      <c r="J105" s="298">
        <f>Data!F33</f>
        <v>0</v>
      </c>
      <c r="K105" s="298">
        <f>Data!E33</f>
        <v>24741</v>
      </c>
      <c r="L105" s="298">
        <f>Data!D33</f>
        <v>70692</v>
      </c>
      <c r="M105" s="298">
        <f>Data!C33</f>
        <v>-7605</v>
      </c>
    </row>
    <row r="106" spans="2:13" x14ac:dyDescent="0.15">
      <c r="B106" t="s">
        <v>362</v>
      </c>
      <c r="J106" s="298">
        <f>Data!F40</f>
        <v>111349</v>
      </c>
      <c r="K106" s="298">
        <f>Data!E40</f>
        <v>408118</v>
      </c>
      <c r="L106" s="298">
        <f>Data!D40</f>
        <v>630728</v>
      </c>
      <c r="M106" s="298">
        <f>Data!C40</f>
        <v>147631</v>
      </c>
    </row>
    <row r="107" spans="2:13" x14ac:dyDescent="0.15">
      <c r="B107" t="s">
        <v>363</v>
      </c>
      <c r="J107">
        <v>0</v>
      </c>
      <c r="K107">
        <v>0</v>
      </c>
      <c r="L107" s="298">
        <f>Data!D41</f>
        <v>22027</v>
      </c>
      <c r="M107" s="298">
        <f>Data!C41</f>
        <v>58246</v>
      </c>
    </row>
    <row r="108" spans="2:13" x14ac:dyDescent="0.15">
      <c r="B108" t="s">
        <v>365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15">
      <c r="B111" t="s">
        <v>367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15">
      <c r="B112" t="s">
        <v>368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15">
      <c r="B113" s="292" t="s">
        <v>369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15">
      <c r="G116" s="292"/>
      <c r="H116" s="293"/>
      <c r="I116" s="301"/>
      <c r="J116" s="301"/>
      <c r="K116" s="301"/>
      <c r="L116" s="301"/>
      <c r="M116" s="301"/>
    </row>
    <row r="117" spans="2:15" x14ac:dyDescent="0.15">
      <c r="H117" s="293"/>
      <c r="I117" s="295"/>
      <c r="J117" s="293"/>
      <c r="K117" s="293"/>
      <c r="M117" s="293"/>
      <c r="N117" s="300"/>
      <c r="O117" s="295"/>
    </row>
    <row r="119" spans="2:15" x14ac:dyDescent="0.15">
      <c r="G119" s="292"/>
      <c r="I119" s="301"/>
      <c r="J119" s="301"/>
      <c r="K119" s="301"/>
      <c r="L119" s="301"/>
      <c r="M119" s="301"/>
    </row>
    <row r="120" spans="2:15" x14ac:dyDescent="0.15">
      <c r="I120" s="295"/>
      <c r="J120" s="301"/>
      <c r="K120" s="293"/>
      <c r="L120" s="300"/>
      <c r="M120" s="295"/>
      <c r="N120" s="292"/>
      <c r="O120" s="302"/>
    </row>
    <row r="122" spans="2:15" x14ac:dyDescent="0.15">
      <c r="G122" s="292"/>
    </row>
    <row r="123" spans="2:15" x14ac:dyDescent="0.15">
      <c r="K123" s="301"/>
      <c r="L123" s="300"/>
      <c r="M123" s="295"/>
    </row>
    <row r="125" spans="2:15" x14ac:dyDescent="0.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24" sqref="C2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68.5" style="3" bestFit="1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3</v>
      </c>
      <c r="H2" s="12"/>
      <c r="I2" s="12"/>
    </row>
    <row r="3" spans="1:10" ht="15.75" customHeight="1" x14ac:dyDescent="0.15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>
        <f>Projections!H3</f>
        <v>45657</v>
      </c>
      <c r="F3" s="194">
        <f>Projections!I3</f>
        <v>46022</v>
      </c>
      <c r="G3" s="195" t="s">
        <v>217</v>
      </c>
      <c r="I3" s="42" t="s">
        <v>117</v>
      </c>
    </row>
    <row r="4" spans="1:10" ht="15.75" customHeight="1" x14ac:dyDescent="0.15">
      <c r="B4" s="147" t="s">
        <v>69</v>
      </c>
      <c r="C4" s="242">
        <f>IF(B4="NOPAT",Projections!F19,Projections!F7)</f>
        <v>-138394</v>
      </c>
      <c r="D4" s="243">
        <f>IF(B4="NOPAT",Projections!G19,Projections!G7)</f>
        <v>-193187.31</v>
      </c>
      <c r="E4" s="243">
        <f>IF(Projections!H7="","",IF(B4="NOPAT",Projections!H19,Projections!H7))</f>
        <v>84829.448399999994</v>
      </c>
      <c r="F4" s="243">
        <f>IF(Projections!I7="","",IF(B4="NOPAT",Projections!I19,Projections!I7))</f>
        <v>118306.22601000001</v>
      </c>
      <c r="G4" s="244">
        <f>IF(F3="",IF(E3="",1,2),3)</f>
        <v>3</v>
      </c>
      <c r="H4" s="6"/>
      <c r="I4" s="47"/>
      <c r="J4" s="35"/>
    </row>
    <row r="5" spans="1:10" ht="15.75" customHeight="1" x14ac:dyDescent="0.15">
      <c r="B5" s="14" t="str">
        <f>B4&amp;" Growth rate"</f>
        <v>NOPAT Growth rate</v>
      </c>
      <c r="C5" s="102"/>
      <c r="D5" s="241">
        <f>D4/C4-1</f>
        <v>0.395922583348989</v>
      </c>
      <c r="E5" s="241">
        <f>IF(E4="","",E4/D4-1)</f>
        <v>-1.4391046616881824</v>
      </c>
      <c r="F5" s="241">
        <f>IF(F4="","",F4/E4-1)</f>
        <v>0.3946362759798403</v>
      </c>
      <c r="G5" s="101"/>
      <c r="H5" s="6"/>
      <c r="I5" s="47"/>
      <c r="J5" s="35"/>
    </row>
    <row r="6" spans="1:10" ht="15.75" customHeight="1" x14ac:dyDescent="0.15">
      <c r="B6" s="14" t="str">
        <f>B7&amp;"/"&amp;B4</f>
        <v>Reinvestment/NOPAT</v>
      </c>
      <c r="C6" s="171">
        <f>C7/C4</f>
        <v>0.29661690535716867</v>
      </c>
      <c r="D6" s="171">
        <f>D7/D4</f>
        <v>0.17312213726667658</v>
      </c>
      <c r="E6" s="171">
        <f>E7/E4</f>
        <v>0.17767496175302261</v>
      </c>
      <c r="F6" s="171">
        <f>F7/F4</f>
        <v>-3.6640156196290116E-2</v>
      </c>
      <c r="G6" s="285"/>
      <c r="H6" s="6"/>
      <c r="I6" s="45"/>
    </row>
    <row r="7" spans="1:10" ht="15" customHeight="1" thickBot="1" x14ac:dyDescent="0.2">
      <c r="B7" s="146" t="s">
        <v>68</v>
      </c>
      <c r="C7" s="313">
        <f>Projections!F23</f>
        <v>-41050</v>
      </c>
      <c r="D7" s="313">
        <f>Projections!G23</f>
        <v>-33445</v>
      </c>
      <c r="E7" s="247">
        <f>Projections!H23</f>
        <v>15072.069000000003</v>
      </c>
      <c r="F7" s="247">
        <f>Projections!I23</f>
        <v>-4334.758600000001</v>
      </c>
      <c r="G7" s="103"/>
      <c r="H7" s="49"/>
      <c r="I7" s="35"/>
      <c r="J7" s="35"/>
    </row>
    <row r="8" spans="1:10" ht="15.75" customHeight="1" thickTop="1" x14ac:dyDescent="0.15">
      <c r="B8" s="14" t="str">
        <f>IF(B7="Reinvestment","FCFF","Retention")</f>
        <v>FCFF</v>
      </c>
      <c r="C8" s="51">
        <f>IF(C4="","",Projections!F19-C7)</f>
        <v>-97344</v>
      </c>
      <c r="D8" s="210">
        <f>Projections!G19-D7</f>
        <v>-159742.31</v>
      </c>
      <c r="E8" s="210">
        <f>IF(E4="","",Projections!H19-E7)</f>
        <v>69757.379399999991</v>
      </c>
      <c r="F8" s="210">
        <f>IF(F4="","",Projections!I19-F7)</f>
        <v>122640.98461000001</v>
      </c>
      <c r="G8" s="315"/>
      <c r="H8" s="49"/>
      <c r="I8" s="35"/>
      <c r="J8" s="35"/>
    </row>
    <row r="9" spans="1:10" ht="15.75" customHeight="1" x14ac:dyDescent="0.15">
      <c r="B9" s="104" t="str">
        <f>B8&amp;" per share"</f>
        <v>FCFF per share</v>
      </c>
      <c r="C9" s="167">
        <f>C8/(Common_Shares/Data!$C$4)</f>
        <v>-5.3289246321185112E-2</v>
      </c>
      <c r="D9" s="248">
        <f>D8/(Common_Shares/Data!$C$4)</f>
        <v>-8.7448094443469668E-2</v>
      </c>
      <c r="E9" s="248">
        <f>IF(E8="","",E8/(Common_Shares/Data!$C$4))</f>
        <v>3.818744014594596E-2</v>
      </c>
      <c r="F9" s="248">
        <f>IF(F8="","",F8/(Common_Shares/Data!$C$4))</f>
        <v>6.71376318823447E-2</v>
      </c>
      <c r="G9" s="249">
        <f>IF(F4="",IF(E4="",D8,E8),F8)*Data!C$4/Common_Shares</f>
        <v>6.7137631882344714E-2</v>
      </c>
      <c r="H9" s="49"/>
      <c r="I9" s="35"/>
      <c r="J9" s="35"/>
    </row>
    <row r="10" spans="1:10" ht="15.75" customHeight="1" x14ac:dyDescent="0.15">
      <c r="B10" s="14" t="s">
        <v>124</v>
      </c>
      <c r="C10" s="246"/>
      <c r="D10" s="149">
        <f ca="1">IF(Projections!$E2=1,"",Dashboard!C12)</f>
        <v>0.06</v>
      </c>
      <c r="E10" s="149">
        <f ca="1">IF(Projections!$E2=2,"",IF(E4="","",D10))</f>
        <v>0.06</v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 x14ac:dyDescent="0.2">
      <c r="B11" s="50" t="s">
        <v>125</v>
      </c>
      <c r="C11" s="75"/>
      <c r="D11" s="250">
        <f ca="1">IF(D10="","",1+D10)</f>
        <v>1.06</v>
      </c>
      <c r="E11" s="250">
        <f ca="1">IF(E10="","",(1+D10)*(1+E10))</f>
        <v>1.1236000000000002</v>
      </c>
      <c r="F11" s="250" t="str">
        <f>IF(F10="","",(1+D10)*(1+E10)*(1+F10))</f>
        <v/>
      </c>
      <c r="G11" s="250">
        <f ca="1">IF(F9="",IF(E9="",1,D11),E11)*(1+G10)</f>
        <v>1.1910160000000003</v>
      </c>
      <c r="H11" s="39"/>
      <c r="I11" s="36"/>
      <c r="J11" s="36"/>
    </row>
    <row r="12" spans="1:10" ht="15.75" customHeight="1" thickTop="1" x14ac:dyDescent="0.15">
      <c r="B12" s="8" t="str">
        <f>"PV "&amp;B8&amp;" per share"</f>
        <v>PV FCFF per share</v>
      </c>
      <c r="C12" s="251"/>
      <c r="D12" s="252">
        <f ca="1">IF(D11="","",D9/D11)</f>
        <v>-8.2498202305160057E-2</v>
      </c>
      <c r="E12" s="252">
        <f ca="1">IF(E11="","",E9/E11)</f>
        <v>3.3986685783148764E-2</v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15">
      <c r="C13" s="6"/>
      <c r="D13" s="6"/>
      <c r="E13" s="192"/>
      <c r="F13" s="6"/>
      <c r="G13" s="6"/>
    </row>
    <row r="14" spans="1:10" ht="15.75" customHeight="1" x14ac:dyDescent="0.15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 x14ac:dyDescent="0.15">
      <c r="B15" s="37" t="s">
        <v>201</v>
      </c>
      <c r="C15" s="51">
        <f>Asset_Model!E62</f>
        <v>1521132</v>
      </c>
      <c r="D15" s="106">
        <f>C15*Data!C4/Common_Shares</f>
        <v>0.83271673482738484</v>
      </c>
      <c r="E15" s="52" t="s">
        <v>199</v>
      </c>
      <c r="G15" s="199">
        <f>C15+C16+C17+C18</f>
        <v>3358729.7</v>
      </c>
    </row>
    <row r="16" spans="1:10" ht="15.75" customHeight="1" x14ac:dyDescent="0.15">
      <c r="B16" s="37" t="s">
        <v>205</v>
      </c>
      <c r="C16" s="51">
        <f>Asset_Model!E61</f>
        <v>1931864.7</v>
      </c>
      <c r="D16" s="106">
        <f>C16*Data!C4/Common_Shares</f>
        <v>1.0575650667478467</v>
      </c>
      <c r="E16" s="52" t="s">
        <v>274</v>
      </c>
      <c r="G16" s="264">
        <f>(G15+MIN(D4,0))*Data!C4/Common_Shares</f>
        <v>1.7329200378129421</v>
      </c>
    </row>
    <row r="17" spans="1:9" ht="15.75" customHeight="1" x14ac:dyDescent="0.15">
      <c r="B17" s="37" t="s">
        <v>192</v>
      </c>
      <c r="C17" s="51">
        <f>-Asset_Model!D55</f>
        <v>-94267</v>
      </c>
      <c r="D17" s="106">
        <f>C17*Data!C4/Common_Shares</f>
        <v>-5.1604797244402915E-2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15">
      <c r="B18" s="52" t="s">
        <v>200</v>
      </c>
      <c r="C18" s="51">
        <f>-Asset_Model!E53</f>
        <v>0</v>
      </c>
      <c r="D18" s="106">
        <f>C18*Data!C4/Common_Shares</f>
        <v>0</v>
      </c>
      <c r="E18" s="355"/>
      <c r="F18" s="89">
        <f>D15+(MIN(D4,0)*Data!C$4/Dashboard!I5)</f>
        <v>0.72695976830949827</v>
      </c>
      <c r="G18" s="88">
        <f>SUM(D16:D18)</f>
        <v>1.0059602695034437</v>
      </c>
    </row>
    <row r="19" spans="1:9" ht="15.75" customHeight="1" x14ac:dyDescent="0.15">
      <c r="F19" s="6"/>
      <c r="G19" s="6"/>
    </row>
    <row r="20" spans="1:9" ht="15.75" customHeight="1" x14ac:dyDescent="0.15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 x14ac:dyDescent="0.15">
      <c r="B21" s="81" t="str">
        <f>"TV after Year "&amp;G4</f>
        <v>TV after Year 3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 x14ac:dyDescent="0.15">
      <c r="B22" s="22" t="s">
        <v>248</v>
      </c>
      <c r="C22" s="267">
        <v>6</v>
      </c>
      <c r="D22" s="268"/>
      <c r="E22" s="239">
        <f ca="1">IF(D22="",IF(G9&lt;0,G9,G9*C22/G11),D22)</f>
        <v>0.33822030207324516</v>
      </c>
      <c r="F22" s="239">
        <f ca="1">SUM(D12:F12)+E22+$G$16</f>
        <v>2.022628823364176</v>
      </c>
      <c r="G22" s="271">
        <f ca="1">F22*Exchange_Rate</f>
        <v>2.022628823364176</v>
      </c>
      <c r="I22" s="43"/>
    </row>
    <row r="23" spans="1:9" ht="15.75" customHeight="1" x14ac:dyDescent="0.15">
      <c r="B23" s="132" t="s">
        <v>249</v>
      </c>
      <c r="C23" s="269">
        <v>12</v>
      </c>
      <c r="D23" s="270"/>
      <c r="E23" s="98">
        <f ca="1">IF(D23="",IF(G9&lt;0,G9,G9*C23/G11),D23)</f>
        <v>0.67644060414649032</v>
      </c>
      <c r="F23" s="98">
        <f ca="1">SUM(D12:F12)+E23+$G$16</f>
        <v>2.3608491254374213</v>
      </c>
      <c r="G23" s="272">
        <f ca="1">F23*Exchange_Rate</f>
        <v>2.3608491254374213</v>
      </c>
      <c r="I23" s="43"/>
    </row>
    <row r="24" spans="1:9" ht="15.5" customHeight="1" x14ac:dyDescent="0.15">
      <c r="C24" s="6"/>
      <c r="D24" s="6"/>
      <c r="E24" s="391" t="s">
        <v>332</v>
      </c>
      <c r="F24" s="392"/>
      <c r="G24" s="143">
        <f ca="1">MIN(G22,G23)+ABS(G22-G23)*Qualitative_Analysis!$E$64</f>
        <v>2.199463972116519</v>
      </c>
    </row>
    <row r="25" spans="1:9" ht="15.75" customHeight="1" x14ac:dyDescent="0.15"/>
    <row r="26" spans="1:9" ht="15.75" customHeight="1" x14ac:dyDescent="0.15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3</v>
      </c>
      <c r="H26" s="12"/>
      <c r="I26" s="12"/>
    </row>
    <row r="27" spans="1:9" ht="15.75" customHeight="1" x14ac:dyDescent="0.15">
      <c r="B27" s="21" t="str">
        <f>B3</f>
        <v>(Numbers in 1000HKD)</v>
      </c>
      <c r="C27" s="194">
        <f>C3</f>
        <v>44926</v>
      </c>
      <c r="D27" s="194">
        <f>D3</f>
        <v>45291</v>
      </c>
      <c r="E27" s="194">
        <f>E3</f>
        <v>45657</v>
      </c>
      <c r="F27" s="194">
        <f>F3</f>
        <v>46022</v>
      </c>
      <c r="G27" s="195" t="str">
        <f>G3</f>
        <v>Terminal Value</v>
      </c>
      <c r="I27" s="43" t="s">
        <v>319</v>
      </c>
    </row>
    <row r="28" spans="1:9" ht="15.75" customHeight="1" x14ac:dyDescent="0.15">
      <c r="B28" s="5" t="s">
        <v>123</v>
      </c>
      <c r="C28" s="51">
        <f>C8</f>
        <v>-97344</v>
      </c>
      <c r="D28" s="51">
        <f>D8</f>
        <v>-159742.31</v>
      </c>
      <c r="E28" s="51">
        <f>E8</f>
        <v>69757.379399999991</v>
      </c>
      <c r="F28" s="51">
        <f>F8</f>
        <v>122640.98461000001</v>
      </c>
      <c r="G28" s="161"/>
      <c r="I28" s="43" t="s">
        <v>316</v>
      </c>
    </row>
    <row r="29" spans="1:9" ht="15.75" customHeight="1" x14ac:dyDescent="0.15">
      <c r="B29" s="141" t="s">
        <v>298</v>
      </c>
      <c r="C29" s="180">
        <v>7.0000000000000007E-2</v>
      </c>
      <c r="D29" s="207">
        <v>0.08</v>
      </c>
      <c r="E29" s="180">
        <v>7.0000000000000007E-2</v>
      </c>
      <c r="F29" s="207">
        <v>0.06</v>
      </c>
      <c r="G29" s="207"/>
      <c r="I29" s="43"/>
    </row>
    <row r="30" spans="1:9" ht="15.75" customHeight="1" x14ac:dyDescent="0.15">
      <c r="B30" s="141" t="s">
        <v>307</v>
      </c>
      <c r="C30" s="95">
        <f>MAX(Asset_Model!D55,0)</f>
        <v>94267</v>
      </c>
      <c r="D30" s="150">
        <f>C30*1.1</f>
        <v>103693.70000000001</v>
      </c>
      <c r="E30" s="161">
        <f>D30</f>
        <v>103693.70000000001</v>
      </c>
      <c r="F30" s="161">
        <f>E30</f>
        <v>103693.70000000001</v>
      </c>
      <c r="G30" s="161"/>
      <c r="I30" s="43" t="s">
        <v>308</v>
      </c>
    </row>
    <row r="31" spans="1:9" ht="15.75" customHeight="1" x14ac:dyDescent="0.15">
      <c r="B31" s="141" t="s">
        <v>312</v>
      </c>
      <c r="C31" s="171">
        <f>Projections!F17</f>
        <v>0.25</v>
      </c>
      <c r="D31" s="171">
        <f>Projections!G17</f>
        <v>0.25</v>
      </c>
      <c r="E31" s="171">
        <f>Projections!H17</f>
        <v>0.25</v>
      </c>
      <c r="F31" s="171">
        <f>Projections!I17</f>
        <v>0.25</v>
      </c>
      <c r="G31" s="171"/>
      <c r="I31" s="43"/>
    </row>
    <row r="32" spans="1:9" ht="15.75" customHeight="1" thickBot="1" x14ac:dyDescent="0.2">
      <c r="B32" s="142" t="s">
        <v>311</v>
      </c>
      <c r="C32" s="276">
        <f>C30*(C29*(1-Projections!F17))</f>
        <v>4949.0175000000008</v>
      </c>
      <c r="D32" s="276">
        <f>(D30*D29)*(1-D31)</f>
        <v>6221.6220000000012</v>
      </c>
      <c r="E32" s="277">
        <f>IF(E28="","",(E30*E29)*(1-E31))</f>
        <v>5443.9192500000008</v>
      </c>
      <c r="F32" s="277">
        <f>IF(F28="","",(F30*F29)*(1-F31))</f>
        <v>4666.2165000000005</v>
      </c>
      <c r="G32" s="276"/>
      <c r="I32" s="43"/>
    </row>
    <row r="33" spans="1:9" ht="15.75" customHeight="1" thickTop="1" x14ac:dyDescent="0.15">
      <c r="B33" s="141" t="s">
        <v>299</v>
      </c>
      <c r="C33" s="51">
        <f>C28-C32</f>
        <v>-102293.0175</v>
      </c>
      <c r="D33" s="210">
        <f>D28-D32</f>
        <v>-165963.932</v>
      </c>
      <c r="E33" s="210">
        <f>IF(E28="","",E28-E32)</f>
        <v>64313.460149999992</v>
      </c>
      <c r="F33" s="210">
        <f>IF(F28="","",F28-F32)</f>
        <v>117974.76811000002</v>
      </c>
      <c r="G33" s="317"/>
      <c r="I33" s="43" t="s">
        <v>303</v>
      </c>
    </row>
    <row r="34" spans="1:9" ht="15.75" customHeight="1" x14ac:dyDescent="0.15">
      <c r="B34" s="120" t="s">
        <v>300</v>
      </c>
      <c r="C34" s="139">
        <f>C33/(Common_Shares/Data!$C$4)</f>
        <v>-5.5998498176516268E-2</v>
      </c>
      <c r="D34" s="245">
        <f>D33/(Common_Shares/Data!$C$4)</f>
        <v>-9.0854011061600265E-2</v>
      </c>
      <c r="E34" s="245">
        <f>IF(E33="","",E33/(Common_Shares/Data!$C$4))</f>
        <v>3.5207263105081696E-2</v>
      </c>
      <c r="F34" s="245">
        <f>IF(F33="","",F33/(Common_Shares/Data!$C$4))</f>
        <v>6.458319441874677E-2</v>
      </c>
      <c r="G34" s="139">
        <f>INDEX(D34:F34,Projections!E2)</f>
        <v>6.458319441874677E-2</v>
      </c>
      <c r="H34" s="6"/>
      <c r="I34" s="43"/>
    </row>
    <row r="35" spans="1:9" ht="15.75" customHeight="1" x14ac:dyDescent="0.15">
      <c r="B35" s="141" t="s">
        <v>305</v>
      </c>
      <c r="C35" s="273">
        <f>Dashboard!C31</f>
        <v>1.89</v>
      </c>
      <c r="D35" s="149">
        <f ca="1">D10</f>
        <v>0.06</v>
      </c>
      <c r="E35" s="149">
        <f ca="1">IF(E10="","",E10)</f>
        <v>0.06</v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 x14ac:dyDescent="0.2">
      <c r="B36" s="142" t="s">
        <v>304</v>
      </c>
      <c r="C36" s="75"/>
      <c r="D36" s="278">
        <f ca="1">IF(D35="","",C35*D35)</f>
        <v>0.11339999999999999</v>
      </c>
      <c r="E36" s="278">
        <f ca="1">IF(E35="","", $D$36)</f>
        <v>0.11339999999999999</v>
      </c>
      <c r="F36" s="278" t="str">
        <f>IF(F35="","", $D$36)</f>
        <v/>
      </c>
      <c r="G36" s="278">
        <f ca="1">C35*G35</f>
        <v>0.11339999999999999</v>
      </c>
      <c r="H36" s="6"/>
      <c r="I36" s="43"/>
    </row>
    <row r="37" spans="1:9" ht="15.75" customHeight="1" thickTop="1" x14ac:dyDescent="0.15">
      <c r="B37" s="5" t="s">
        <v>301</v>
      </c>
      <c r="C37" s="274">
        <f>Qualitative_Analysis!E64^2</f>
        <v>0.27336180786940617</v>
      </c>
      <c r="D37" s="245">
        <f ca="1">IF(D36="","",D34-D36)</f>
        <v>-0.20425401106160024</v>
      </c>
      <c r="E37" s="245">
        <f ca="1">IF(E36="","",E34-E36)</f>
        <v>-7.8192736894918291E-2</v>
      </c>
      <c r="F37" s="245" t="str">
        <f>IF(F36="","",F34-F36)</f>
        <v/>
      </c>
      <c r="G37" s="275">
        <f ca="1">G34-G36</f>
        <v>-4.8816805581253217E-2</v>
      </c>
      <c r="I37" s="43" t="s">
        <v>302</v>
      </c>
    </row>
    <row r="38" spans="1:9" ht="15.75" customHeight="1" x14ac:dyDescent="0.15">
      <c r="B38" s="5" t="s">
        <v>125</v>
      </c>
      <c r="C38" s="144"/>
      <c r="D38" s="149">
        <f ca="1">D11</f>
        <v>1.06</v>
      </c>
      <c r="E38" s="149">
        <f ca="1">E11</f>
        <v>1.1236000000000002</v>
      </c>
      <c r="F38" s="149" t="str">
        <f>F11</f>
        <v/>
      </c>
      <c r="G38" s="149">
        <f ca="1">IF(F34="",IF(E34="",1,D38),E38)*(1+G35)*(1+G35-C37)</f>
        <v>0.93689867303861152</v>
      </c>
      <c r="I38" s="43"/>
    </row>
    <row r="39" spans="1:9" ht="15.75" customHeight="1" x14ac:dyDescent="0.15">
      <c r="B39" s="85" t="s">
        <v>310</v>
      </c>
      <c r="C39" s="145"/>
      <c r="D39" s="279">
        <f ca="1">IF(D37="","",D37/D38)</f>
        <v>-0.19269246326566059</v>
      </c>
      <c r="E39" s="279">
        <f ca="1">IF(E37="","",E37/E38)</f>
        <v>-6.9591257471447385E-2</v>
      </c>
      <c r="F39" s="279" t="str">
        <f>IF(F37="","",F37/F38)</f>
        <v/>
      </c>
      <c r="G39" s="279">
        <f ca="1">G37/G38</f>
        <v>-5.2104680032182493E-2</v>
      </c>
      <c r="I39" s="43"/>
    </row>
    <row r="40" spans="1:9" ht="15.75" customHeight="1" x14ac:dyDescent="0.15">
      <c r="B40" s="20" t="s">
        <v>330</v>
      </c>
      <c r="C40" s="6"/>
      <c r="D40" s="6"/>
      <c r="E40" s="393" t="s">
        <v>320</v>
      </c>
      <c r="F40" s="323"/>
      <c r="G40" s="280">
        <f>Asset_Model!D7</f>
        <v>1.8488378398424457</v>
      </c>
    </row>
    <row r="41" spans="1:9" ht="15.75" customHeight="1" x14ac:dyDescent="0.15">
      <c r="C41" s="6"/>
      <c r="D41" s="6"/>
      <c r="E41" s="391" t="s">
        <v>306</v>
      </c>
      <c r="F41" s="391"/>
      <c r="G41" s="281">
        <f ca="1">MAX((G40+SUM(D39:G39))*Exchange_Rate,0)</f>
        <v>1.5344494390731551</v>
      </c>
    </row>
    <row r="42" spans="1:9" ht="15.75" customHeight="1" x14ac:dyDescent="0.15"/>
    <row r="43" spans="1:9" ht="15.75" customHeight="1" x14ac:dyDescent="0.15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 x14ac:dyDescent="0.15">
      <c r="B44" s="76" t="s">
        <v>278</v>
      </c>
      <c r="C44" s="261">
        <f ca="1">MIN(G24,G41)+ABS(G24-G41)*Qualitative_Analysis!$E$8</f>
        <v>1.960058740220908</v>
      </c>
      <c r="D44" s="262" t="str">
        <f>Dashboard!J4</f>
        <v>HKD</v>
      </c>
      <c r="E44" s="263">
        <f ca="1">(C44-G16)/C9</f>
        <v>-4.26237408273622</v>
      </c>
      <c r="F44" s="263">
        <f ca="1">C44/(Data!C29*Exchange_Rate*Data!C4/Common_Shares)</f>
        <v>0.79668455551475903</v>
      </c>
      <c r="G44" s="263">
        <f ca="1">C44/(Data!C7*Data!C4*Exchange_Rate/Common_Shares)</f>
        <v>6.125227626898063</v>
      </c>
      <c r="I44" s="43"/>
    </row>
    <row r="45" spans="1:9" ht="15.75" customHeight="1" x14ac:dyDescent="0.15">
      <c r="B45" s="6" t="s">
        <v>313</v>
      </c>
      <c r="C45" s="255">
        <f>Asset_Model!I4*1.45*Exchange_Rate</f>
        <v>3.5197332601695219</v>
      </c>
      <c r="D45" s="256" t="str">
        <f>D44</f>
        <v>HKD</v>
      </c>
      <c r="E45" s="223">
        <f>(C45-G16)/C9</f>
        <v>-33.53046525723208</v>
      </c>
      <c r="F45" s="223">
        <f>C45/(Asset_Model!I3*Exchange_Rate*Data!C4/Common_Shares)</f>
        <v>1.45</v>
      </c>
      <c r="G45" s="223">
        <f>C45/(Data!C7*Data!C4*Exchange_Rate/Common_Shares)</f>
        <v>10.999245564483706</v>
      </c>
      <c r="I45" s="43" t="s">
        <v>405</v>
      </c>
    </row>
    <row r="46" spans="1:9" ht="15.75" customHeight="1" x14ac:dyDescent="0.15">
      <c r="B46" s="257" t="s">
        <v>314</v>
      </c>
      <c r="C46" s="258">
        <f ca="1">MIN(C45,C44)+ABS(C45-C44)*Qualitative_Analysis!E64</f>
        <v>2.7755191784314563</v>
      </c>
      <c r="D46" s="256" t="str">
        <f>D45</f>
        <v>HKD</v>
      </c>
      <c r="E46" s="223">
        <f ca="1">(C46-G16)/C9</f>
        <v>-19.564906854462858</v>
      </c>
      <c r="F46" s="223">
        <f ca="1">C46/(Asset_Model!I3*Exchange_Rate*Data!C4/Common_Shares)</f>
        <v>1.1434113074045213</v>
      </c>
      <c r="G46" s="223">
        <f ca="1">C46/(Data!C7*Data!C4*Exchange_Rate/Common_Shares)</f>
        <v>8.6735598285170337</v>
      </c>
    </row>
    <row r="47" spans="1:9" ht="15.75" customHeight="1" x14ac:dyDescent="0.15">
      <c r="B47" s="84" t="s">
        <v>279</v>
      </c>
      <c r="C47" s="259">
        <f ca="1">MAX(G41,C44)/(1+Dashboard!I14)</f>
        <v>1.5680469921767264</v>
      </c>
      <c r="D47" s="260" t="str">
        <f>D45</f>
        <v>HKD</v>
      </c>
      <c r="E47" s="224">
        <f ca="1">(C47-G16)/C9</f>
        <v>3.0939271432456072</v>
      </c>
      <c r="F47" s="224">
        <f ca="1">C47/(Asset_Model!I3*Exchange_Rate*Data!C4/Common_Shares)</f>
        <v>0.64597739959042977</v>
      </c>
      <c r="G47" s="224">
        <f ca="1">C47/(Data!C7*Data!C4*Exchange_Rate/Common_Shares)</f>
        <v>4.9001821015184506</v>
      </c>
    </row>
    <row r="48" spans="1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C57" sqref="C57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126</v>
      </c>
      <c r="C2" s="59"/>
      <c r="D2" s="12"/>
      <c r="E2" s="6"/>
      <c r="G2" s="42" t="s">
        <v>117</v>
      </c>
    </row>
    <row r="3" spans="1:7" ht="14" x14ac:dyDescent="0.15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 x14ac:dyDescent="0.15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 x14ac:dyDescent="0.15">
      <c r="B5" s="6" t="s">
        <v>228</v>
      </c>
      <c r="C5" s="60"/>
      <c r="D5" s="58">
        <f>AVERAGE(D12:D16)</f>
        <v>1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 x14ac:dyDescent="0.15">
      <c r="B6" s="6" t="s">
        <v>229</v>
      </c>
      <c r="C6" s="60"/>
      <c r="D6" s="58">
        <f>AVERAGE(D24:D28)</f>
        <v>2.8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 x14ac:dyDescent="0.15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 x14ac:dyDescent="0.15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 x14ac:dyDescent="0.15">
      <c r="B9" s="60"/>
      <c r="C9" s="60"/>
      <c r="E9" s="6"/>
      <c r="G9" s="45"/>
    </row>
    <row r="10" spans="1:7" ht="15" customHeight="1" x14ac:dyDescent="0.2">
      <c r="A10" s="4"/>
      <c r="B10" s="11" t="s">
        <v>130</v>
      </c>
      <c r="C10" s="16"/>
      <c r="D10" s="16"/>
      <c r="E10" s="12"/>
      <c r="G10" s="119"/>
    </row>
    <row r="11" spans="1:7" ht="15" customHeight="1" x14ac:dyDescent="0.15">
      <c r="B11" s="62" t="s">
        <v>131</v>
      </c>
      <c r="C11" s="57"/>
      <c r="E11" s="6"/>
      <c r="G11" s="119"/>
    </row>
    <row r="12" spans="1:7" ht="15" customHeight="1" x14ac:dyDescent="0.15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 x14ac:dyDescent="0.15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 x14ac:dyDescent="0.15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 x14ac:dyDescent="0.15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/>
    </row>
    <row r="16" spans="1:7" ht="15" customHeight="1" x14ac:dyDescent="0.15">
      <c r="B16" s="32" t="s">
        <v>136</v>
      </c>
      <c r="D16" s="63">
        <f>IF(E16="Strongly disagree",0,IF(E16="disagree",1,IF(E16="unclear",2,IF(E16="agree",3,4))))</f>
        <v>2</v>
      </c>
      <c r="E16" s="175" t="s">
        <v>127</v>
      </c>
      <c r="F16" s="6"/>
      <c r="G16" s="119"/>
    </row>
    <row r="17" spans="2:7" ht="15" customHeight="1" x14ac:dyDescent="0.15">
      <c r="B17" s="62" t="s">
        <v>138</v>
      </c>
      <c r="D17" s="25"/>
      <c r="E17" s="18"/>
      <c r="G17" s="119"/>
    </row>
    <row r="18" spans="2:7" ht="15" customHeight="1" x14ac:dyDescent="0.15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15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/>
    </row>
    <row r="20" spans="2:7" ht="15" customHeight="1" x14ac:dyDescent="0.15">
      <c r="B20" s="32" t="s">
        <v>140</v>
      </c>
      <c r="D20" s="63">
        <f t="shared" si="1"/>
        <v>3</v>
      </c>
      <c r="E20" s="175" t="s">
        <v>128</v>
      </c>
      <c r="F20" s="6"/>
      <c r="G20" s="119"/>
    </row>
    <row r="21" spans="2:7" ht="15" customHeight="1" x14ac:dyDescent="0.15">
      <c r="B21" s="32" t="s">
        <v>141</v>
      </c>
      <c r="D21" s="63">
        <f t="shared" si="1"/>
        <v>1</v>
      </c>
      <c r="E21" s="175" t="s">
        <v>135</v>
      </c>
      <c r="F21" s="6"/>
      <c r="G21" s="119"/>
    </row>
    <row r="22" spans="2:7" ht="15" customHeight="1" x14ac:dyDescent="0.15">
      <c r="B22" s="32" t="s">
        <v>142</v>
      </c>
      <c r="D22" s="63">
        <f t="shared" si="1"/>
        <v>2</v>
      </c>
      <c r="E22" s="175" t="s">
        <v>127</v>
      </c>
      <c r="F22" s="6"/>
      <c r="G22" s="119"/>
    </row>
    <row r="23" spans="2:7" ht="15" customHeight="1" x14ac:dyDescent="0.15">
      <c r="B23" s="62" t="s">
        <v>143</v>
      </c>
      <c r="D23" s="25"/>
      <c r="E23" s="18"/>
      <c r="G23" s="119"/>
    </row>
    <row r="24" spans="2:7" ht="15" customHeight="1" x14ac:dyDescent="0.15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 x14ac:dyDescent="0.15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 x14ac:dyDescent="0.15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 x14ac:dyDescent="0.15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 x14ac:dyDescent="0.15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 x14ac:dyDescent="0.15">
      <c r="B29" s="62" t="s">
        <v>147</v>
      </c>
      <c r="D29" s="25"/>
      <c r="E29" s="18"/>
      <c r="G29" s="119"/>
    </row>
    <row r="30" spans="2:7" ht="15" customHeight="1" x14ac:dyDescent="0.15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 x14ac:dyDescent="0.15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 x14ac:dyDescent="0.15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 x14ac:dyDescent="0.15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15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 x14ac:dyDescent="0.15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 x14ac:dyDescent="0.15">
      <c r="B36" s="1" t="s">
        <v>151</v>
      </c>
      <c r="D36" s="64">
        <f>SUM(D37:D41)/(5*4)</f>
        <v>0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 x14ac:dyDescent="0.15">
      <c r="B37" s="32" t="s">
        <v>152</v>
      </c>
      <c r="D37" s="63">
        <f t="shared" ref="D37:D41" si="4">IF(E37="Strongly disagree",0,IF(E37="disagree",1,IF(E37="unclear",2,IF(E37="agree",3,4))))</f>
        <v>0</v>
      </c>
      <c r="E37" s="175" t="s">
        <v>150</v>
      </c>
      <c r="F37" s="6"/>
      <c r="G37" s="119"/>
    </row>
    <row r="38" spans="2:7" ht="15" customHeight="1" x14ac:dyDescent="0.15">
      <c r="B38" s="32" t="s">
        <v>239</v>
      </c>
      <c r="D38" s="63">
        <f t="shared" si="4"/>
        <v>0</v>
      </c>
      <c r="E38" s="175" t="s">
        <v>150</v>
      </c>
      <c r="F38" s="6"/>
      <c r="G38" s="119"/>
    </row>
    <row r="39" spans="2:7" ht="15" customHeight="1" x14ac:dyDescent="0.15">
      <c r="B39" s="32" t="s">
        <v>240</v>
      </c>
      <c r="D39" s="63">
        <f t="shared" si="4"/>
        <v>0</v>
      </c>
      <c r="E39" s="175" t="s">
        <v>150</v>
      </c>
      <c r="F39" s="6"/>
      <c r="G39" s="119"/>
    </row>
    <row r="40" spans="2:7" ht="15" customHeight="1" x14ac:dyDescent="0.15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 x14ac:dyDescent="0.15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 x14ac:dyDescent="0.15">
      <c r="B42" s="1" t="s">
        <v>153</v>
      </c>
      <c r="D42" s="64">
        <f>SUM(D43:D48)/(6*4)</f>
        <v>0.75</v>
      </c>
      <c r="E42" s="18" t="str">
        <f>IF(D42&gt;80%,"Very High",IF(D42&lt;=20%,"Very Low",IF(D42&lt;=40%,"Low",IF(D42&lt;=60%,"Medium","High"))))</f>
        <v>High</v>
      </c>
      <c r="F42" s="6"/>
      <c r="G42" s="119"/>
    </row>
    <row r="43" spans="2:7" ht="15" customHeight="1" x14ac:dyDescent="0.15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 x14ac:dyDescent="0.15">
      <c r="B44" s="32" t="s">
        <v>155</v>
      </c>
      <c r="D44" s="63">
        <f t="shared" si="5"/>
        <v>3</v>
      </c>
      <c r="E44" s="175" t="s">
        <v>128</v>
      </c>
      <c r="F44" s="6"/>
      <c r="G44" s="119"/>
    </row>
    <row r="45" spans="2:7" ht="15" customHeight="1" x14ac:dyDescent="0.15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15">
      <c r="B46" s="32" t="s">
        <v>157</v>
      </c>
      <c r="D46" s="63">
        <f t="shared" si="5"/>
        <v>3</v>
      </c>
      <c r="E46" s="175" t="s">
        <v>128</v>
      </c>
      <c r="F46" s="6"/>
      <c r="G46" s="119"/>
    </row>
    <row r="47" spans="2:7" ht="15" customHeight="1" x14ac:dyDescent="0.15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 x14ac:dyDescent="0.15">
      <c r="B48" s="32" t="s">
        <v>184</v>
      </c>
      <c r="D48" s="63">
        <f t="shared" si="5"/>
        <v>2</v>
      </c>
      <c r="E48" s="175" t="s">
        <v>127</v>
      </c>
      <c r="F48" s="6"/>
      <c r="G48" s="119"/>
    </row>
    <row r="49" spans="2:8" ht="15" customHeight="1" x14ac:dyDescent="0.15">
      <c r="B49" s="1" t="s">
        <v>159</v>
      </c>
      <c r="D49" s="64">
        <f>SUM(D50:D54)/(5*4)</f>
        <v>0.39319727891156464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 x14ac:dyDescent="0.15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15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15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15">
      <c r="B53" s="32" t="s">
        <v>244</v>
      </c>
      <c r="D53" s="63">
        <f>IF(E53="Strongly disagree",0,IF(E53="disagree",1,IF(E53="unclear",2,IF(E53="agree",3,4))))</f>
        <v>2</v>
      </c>
      <c r="E53" s="175" t="s">
        <v>127</v>
      </c>
      <c r="F53" s="32"/>
      <c r="G53" s="119"/>
      <c r="H53" s="32"/>
    </row>
    <row r="54" spans="2:8" ht="15" customHeight="1" x14ac:dyDescent="0.15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 x14ac:dyDescent="0.15">
      <c r="B55" s="1" t="s">
        <v>162</v>
      </c>
      <c r="D55" s="66">
        <f>SUM(D56:D61)/(6*4)</f>
        <v>0.75</v>
      </c>
      <c r="E55" s="18" t="str">
        <f>IF(D55&gt;80%,"Very High",IF(D55&lt;=20%,"Very Low",IF(D55&lt;=40%,"Low",IF(D55&lt;=60%,"Medium","High"))))</f>
        <v>High</v>
      </c>
      <c r="F55" s="32"/>
      <c r="G55" s="119"/>
      <c r="H55" s="32"/>
    </row>
    <row r="56" spans="2:8" ht="15" customHeight="1" x14ac:dyDescent="0.15">
      <c r="B56" s="32" t="s">
        <v>163</v>
      </c>
      <c r="D56" s="63">
        <f t="shared" ref="D56:D60" si="7">IF(E56="Strongly disagree",0,IF(E56="disagree",1,IF(E56="unclear",2,IF(E56="agree",3,4))))</f>
        <v>4</v>
      </c>
      <c r="E56" s="175" t="s">
        <v>137</v>
      </c>
      <c r="F56" s="32"/>
      <c r="G56" s="119"/>
      <c r="H56" s="32"/>
    </row>
    <row r="57" spans="2:8" ht="15" customHeight="1" x14ac:dyDescent="0.15">
      <c r="B57" s="32" t="s">
        <v>164</v>
      </c>
      <c r="D57" s="63">
        <f t="shared" si="7"/>
        <v>2</v>
      </c>
      <c r="E57" s="175" t="s">
        <v>127</v>
      </c>
      <c r="F57" s="32"/>
      <c r="G57" s="119"/>
      <c r="H57" s="32"/>
    </row>
    <row r="58" spans="2:8" ht="15" customHeight="1" x14ac:dyDescent="0.15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15">
      <c r="B59" s="32" t="s">
        <v>186</v>
      </c>
      <c r="D59" s="63">
        <f t="shared" si="7"/>
        <v>3</v>
      </c>
      <c r="E59" s="175" t="s">
        <v>128</v>
      </c>
      <c r="F59" s="32"/>
      <c r="G59" s="119"/>
      <c r="H59" s="32"/>
    </row>
    <row r="60" spans="2:8" ht="15" customHeight="1" x14ac:dyDescent="0.15">
      <c r="B60" s="32" t="s">
        <v>187</v>
      </c>
      <c r="D60" s="63">
        <f t="shared" si="7"/>
        <v>3</v>
      </c>
      <c r="E60" s="175" t="s">
        <v>128</v>
      </c>
      <c r="F60" s="32"/>
      <c r="G60" s="119"/>
      <c r="H60" s="32"/>
    </row>
    <row r="61" spans="2:8" ht="15" customHeight="1" x14ac:dyDescent="0.15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 x14ac:dyDescent="0.15">
      <c r="B62" s="87" t="s">
        <v>165</v>
      </c>
      <c r="D62" s="80">
        <f>1-AVERAGE(D30,D36,D42,D49,D55)</f>
        <v>0.54136054421768709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15">
      <c r="D63" s="6"/>
      <c r="E63" s="6"/>
      <c r="G63" s="119"/>
    </row>
    <row r="64" spans="2:8" ht="15" customHeight="1" x14ac:dyDescent="0.15">
      <c r="B64" s="61" t="s">
        <v>166</v>
      </c>
      <c r="D64" s="58">
        <f>E64*4</f>
        <v>2.0913605442176868</v>
      </c>
      <c r="E64" s="217">
        <f>AVERAGE(AVERAGE(D12:D16)/4,AVERAGE(D18:D22)/4,AVERAGE(D24:D28)/4,D62)</f>
        <v>0.5228401360544217</v>
      </c>
      <c r="G64" s="119"/>
    </row>
    <row r="65" spans="2:7" ht="15" customHeight="1" x14ac:dyDescent="0.15">
      <c r="G65" s="120"/>
    </row>
    <row r="66" spans="2:7" ht="15" customHeight="1" x14ac:dyDescent="0.15">
      <c r="B66" s="33" t="s">
        <v>167</v>
      </c>
      <c r="C66" s="7"/>
      <c r="D66" s="7"/>
      <c r="E66" s="34"/>
    </row>
    <row r="67" spans="2:7" ht="15" customHeight="1" x14ac:dyDescent="0.15">
      <c r="B67" s="67" t="s">
        <v>168</v>
      </c>
      <c r="C67" s="68"/>
      <c r="D67" s="68"/>
      <c r="E67" s="69"/>
    </row>
    <row r="68" spans="2:7" ht="15" customHeight="1" x14ac:dyDescent="0.15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15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15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15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15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15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15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15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15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15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2023-10-11T13:20:43Z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