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13_ncr:1_{B69691F5-6C02-F14D-BE11-BD2A4B8A8B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3" i="7" l="1"/>
  <c r="G14" i="7"/>
  <c r="G10" i="7"/>
  <c r="G8" i="7"/>
  <c r="F38" i="2"/>
  <c r="G38" i="2"/>
  <c r="H38" i="2"/>
  <c r="I38" i="2"/>
  <c r="J38" i="2"/>
  <c r="K38" i="2"/>
  <c r="L38" i="2"/>
  <c r="M38" i="2"/>
  <c r="F37" i="2"/>
  <c r="G37" i="2"/>
  <c r="H37" i="2"/>
  <c r="I37" i="2"/>
  <c r="J37" i="2"/>
  <c r="K37" i="2"/>
  <c r="L37" i="2"/>
  <c r="M37" i="2"/>
  <c r="F36" i="2"/>
  <c r="G36" i="2"/>
  <c r="H36" i="2"/>
  <c r="I36" i="2"/>
  <c r="J36" i="2"/>
  <c r="K36" i="2"/>
  <c r="L36" i="2"/>
  <c r="M36" i="2"/>
  <c r="E33" i="2"/>
  <c r="E36" i="2" s="1"/>
  <c r="D33" i="2"/>
  <c r="D36" i="2" s="1"/>
  <c r="C33" i="2"/>
  <c r="C36" i="2" s="1"/>
  <c r="D11" i="2"/>
  <c r="C11" i="2"/>
  <c r="G22" i="7"/>
  <c r="G45" i="4"/>
  <c r="C34" i="3"/>
  <c r="C38" i="3"/>
  <c r="C14" i="3"/>
  <c r="C17" i="3"/>
  <c r="C37" i="2" l="1"/>
  <c r="F23" i="7"/>
  <c r="E37" i="2"/>
  <c r="D37" i="2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C37" i="1"/>
  <c r="B18" i="1" s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<sst xmlns="http://schemas.openxmlformats.org/spreadsheetml/2006/main" count="481" uniqueCount="414">
  <si>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</si>
  <si>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</si>
  <si>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</si>
  <si>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</si>
  <si>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</si>
  <si>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</si>
  <si>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</si>
  <si>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</si>
  <si>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</si>
  <si>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</si>
  <si>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</si>
  <si>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</si>
  <si>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</si>
  <si>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</si>
  <si>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</si>
  <si>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</si>
  <si>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</si>
  <si>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</si>
  <si>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</si>
  <si>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</si>
  <si>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</si>
  <si>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</si>
  <si>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</si>
  <si>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</si>
  <si>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</si>
  <si>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</si>
  <si>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</si>
  <si>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</si>
  <si>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</si>
  <si>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</si>
  <si>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</si>
  <si>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</si>
  <si>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</si>
  <si>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</si>
  <si>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</si>
  <si>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</si>
  <si>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</si>
  <si>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</si>
  <si>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</si>
  <si>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</si>
  <si>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</si>
  <si>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</si>
  <si>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</si>
  <si>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</si>
  <si>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</si>
  <si>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</si>
  <si>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</si>
  <si>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</si>
  <si>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</si>
  <si>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</si>
  <si>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</si>
  <si>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</si>
  <si>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</si>
  <si>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</si>
  <si>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</si>
  <si>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</si>
  <si>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</si>
  <si>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</si>
  <si>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</si>
  <si>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</si>
  <si>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</si>
  <si>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</si>
  <si>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</si>
  <si>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</si>
  <si>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</si>
  <si>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</si>
  <si>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</si>
  <si>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</si>
  <si>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</si>
  <si>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</si>
  <si>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</si>
  <si>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</si>
  <si>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</si>
  <si>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</si>
  <si>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</si>
  <si>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</si>
  <si>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</si>
  <si>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</si>
  <si>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</si>
  <si>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</si>
  <si>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</si>
  <si>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</si>
  <si>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</si>
  <si>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</si>
  <si>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</si>
  <si>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</si>
  <si>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</si>
  <si>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</si>
  <si>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</si>
  <si>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</si>
  <si>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</si>
  <si>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</si>
  <si>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</si>
  <si>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</si>
  <si>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</si>
  <si>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</si>
  <si>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</si>
  <si>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</si>
  <si>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</si>
  <si>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</si>
  <si>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</si>
  <si>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</si>
  <si>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</si>
  <si>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</si>
  <si>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</si>
  <si>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</si>
  <si>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</si>
  <si>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</si>
  <si>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</si>
  <si>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</si>
  <si>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</si>
  <si>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</si>
  <si>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</si>
  <si>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</si>
  <si>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</si>
  <si>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</si>
  <si>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</si>
  <si>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</si>
  <si>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</si>
  <si>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</si>
  <si>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</si>
  <si>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</si>
  <si>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</si>
  <si>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</si>
  <si>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</si>
  <si>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</si>
  <si>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</si>
  <si>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</si>
  <si>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</si>
  <si>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</si>
  <si>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</si>
  <si>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</si>
  <si>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</si>
  <si>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</si>
  <si>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</si>
  <si>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</si>
  <si>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</si>
  <si>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</si>
  <si>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</si>
  <si>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</si>
  <si>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</si>
  <si>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</si>
  <si>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</si>
  <si>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</si>
  <si>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</si>
  <si>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</si>
  <si>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</si>
  <si>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</si>
  <si>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</si>
  <si>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</si>
  <si>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</si>
  <si>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</si>
  <si>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</si>
  <si>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</si>
  <si>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</si>
  <si>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</si>
  <si>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</si>
  <si>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</si>
  <si>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</si>
  <si>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</si>
  <si>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</si>
  <si>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</si>
  <si>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</si>
  <si>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</si>
  <si>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</si>
  <si>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</si>
  <si>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</si>
  <si>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</si>
  <si>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</si>
  <si>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</si>
  <si>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</si>
  <si>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</si>
  <si>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</si>
  <si>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</si>
  <si>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</si>
  <si>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</si>
  <si>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</si>
  <si>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</si>
  <si>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</si>
  <si>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</si>
  <si>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</si>
  <si>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</si>
  <si>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</si>
  <si>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</si>
  <si>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</si>
  <si>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</si>
  <si>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</si>
  <si>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</si>
  <si>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</si>
  <si>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</si>
  <si>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</si>
  <si>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</si>
  <si>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</si>
  <si>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</si>
  <si>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</si>
  <si>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</si>
  <si>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</si>
  <si>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</si>
  <si>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</si>
  <si>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</si>
  <si>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</si>
  <si>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</si>
  <si>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</si>
  <si>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</si>
  <si>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</si>
  <si>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</si>
  <si>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</si>
  <si>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</si>
  <si>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</si>
  <si>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</si>
  <si>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</si>
  <si>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</si>
  <si>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</si>
  <si>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</si>
  <si>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</si>
  <si>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</si>
  <si>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</si>
  <si>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</si>
  <si>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</si>
  <si>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</si>
  <si>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</si>
  <si>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</si>
  <si>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</si>
  <si>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</si>
  <si>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</si>
  <si>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</si>
  <si>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</si>
  <si>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</si>
  <si>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</si>
  <si>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</si>
  <si>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</si>
  <si>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</si>
  <si>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</si>
  <si>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</si>
  <si>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</si>
  <si>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</si>
  <si>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</si>
  <si>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</si>
  <si>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</si>
  <si>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</si>
  <si>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</si>
  <si>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</si>
  <si>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</si>
  <si>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</si>
  <si>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</si>
  <si>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</si>
  <si>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</si>
  <si>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</si>
  <si>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</si>
  <si>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</si>
  <si>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</si>
  <si>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</si>
  <si>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</si>
  <si>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</si>
  <si>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</si>
  <si>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</si>
  <si>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</si>
  <si>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</si>
  <si>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</si>
  <si>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</si>
  <si>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</si>
  <si>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</si>
  <si>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</si>
  <si>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</si>
  <si>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</si>
  <si>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</si>
  <si>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</si>
  <si>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</si>
  <si>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</si>
  <si>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</si>
  <si>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</si>
  <si>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</si>
  <si>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</si>
  <si>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</si>
  <si>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</si>
  <si>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</si>
  <si>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</si>
  <si>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</si>
  <si>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</si>
  <si>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</si>
  <si>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</si>
  <si>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</si>
  <si>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</si>
  <si>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</si>
  <si>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</si>
  <si>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</si>
  <si>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</si>
  <si>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</si>
  <si>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</si>
  <si>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</si>
  <si>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</si>
  <si>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</si>
  <si>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</si>
  <si>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</si>
  <si>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</si>
  <si>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</si>
  <si>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</si>
  <si>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</si>
  <si>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</si>
  <si>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</si>
  <si>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</si>
  <si>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</si>
  <si>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</si>
  <si>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</si>
  <si>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</si>
  <si>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</si>
  <si>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</si>
  <si>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</si>
  <si>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</si>
  <si>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</si>
  <si>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</si>
  <si>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</si>
  <si>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</si>
  <si>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</si>
  <si>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</si>
  <si>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</si>
  <si>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</si>
  <si>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</si>
  <si>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</si>
  <si>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</si>
  <si>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</si>
  <si>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</si>
  <si>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</si>
  <si>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</si>
  <si>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</si>
  <si>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</si>
  <si>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</si>
  <si>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</si>
  <si>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</si>
  <si>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</si>
  <si>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</si>
  <si>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</si>
  <si>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</si>
  <si>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</si>
  <si>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</si>
  <si>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</si>
  <si>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</si>
  <si>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</si>
  <si>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</si>
  <si>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</si>
  <si>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</si>
  <si>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</si>
  <si>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</si>
  <si>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</si>
  <si>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</si>
  <si>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</si>
  <si>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</si>
  <si>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</si>
  <si>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</si>
  <si>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</si>
  <si>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</si>
  <si>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</si>
  <si>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</si>
  <si>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</si>
  <si>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</si>
  <si>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</si>
  <si>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</si>
  <si>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</si>
  <si>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</si>
  <si>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</si>
  <si>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</si>
  <si>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</si>
  <si>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</si>
  <si>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</si>
  <si>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</si>
  <si>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</si>
  <si>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</si>
  <si>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</si>
  <si>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</si>
  <si>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</si>
  <si>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</si>
  <si>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</si>
  <si>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</si>
  <si>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</si>
  <si>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</si>
  <si>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</si>
  <si>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</si>
  <si>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</si>
  <si>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</si>
  <si>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</si>
  <si>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</si>
  <si>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</si>
  <si>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</si>
  <si>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</si>
  <si>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</si>
  <si>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</si>
  <si>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</si>
  <si>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</si>
  <si>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</si>
  <si>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</si>
  <si>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</si>
  <si>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</si>
  <si>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</si>
  <si>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</si>
  <si>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</si>
  <si>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</si>
  <si>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</si>
  <si>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</si>
  <si>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</si>
  <si>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</si>
  <si>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</si>
  <si>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</si>
  <si>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</si>
  <si>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</si>
  <si>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</si>
  <si>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</si>
  <si>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</si>
  <si>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</si>
  <si>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</si>
  <si>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</si>
  <si>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联易融过桥资金的风险问题 (先买入客户的应收账款，再转卖)
2. 2023Q2貸款總體需求指數下降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</si>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</sst>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FCFF per share = &quot;#,##0.00"/>
    <numFmt numFmtId="187" formatCode="&quot;CI = &quot;0.00"/>
    <numFmt numFmtId="188" formatCode="&quot;ω = &quot;0.00"/>
    <numFmt numFmtId="189" formatCode="&quot;Total &quot;0.00%"/>
    <numFmt numFmtId="190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9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7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7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9" fontId="1" fillId="0" borderId="9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9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5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5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7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1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0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3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3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1" fontId="1" fillId="0" borderId="9" xfId="0" applyNumberFormat="1" applyFont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9" fontId="1" fillId="14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6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7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="144" zoomScaleNormal="100" workbookViewId="0">
      <selection activeCell="C5" sqref="C5:D5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 x14ac:dyDescent="0.15">
      <c r="B3" s="5" t="s">
        <v>1</v>
      </c>
      <c r="C3" s="351" t="s">
        <v>394</v>
      </c>
      <c r="D3" s="352"/>
      <c r="E3" s="6"/>
      <c r="G3" s="7" t="s">
        <v>2</v>
      </c>
      <c r="I3" s="360" t="s">
        <v>3</v>
      </c>
      <c r="J3" s="360"/>
    </row>
    <row r="4" spans="1:12" ht="15.75" customHeight="1" x14ac:dyDescent="0.15">
      <c r="B4" s="5" t="s">
        <v>4</v>
      </c>
      <c r="C4" s="353" t="s">
        <v>395</v>
      </c>
      <c r="D4" s="322"/>
      <c r="E4" s="6"/>
      <c r="G4" s="5" t="s">
        <v>5</v>
      </c>
      <c r="I4" s="221">
        <v>1.81</v>
      </c>
      <c r="J4" s="222" t="s">
        <v>6</v>
      </c>
      <c r="K4" s="92"/>
    </row>
    <row r="5" spans="1:12" ht="15.75" customHeight="1" x14ac:dyDescent="0.15">
      <c r="B5" s="5" t="s">
        <v>7</v>
      </c>
      <c r="C5" s="354">
        <v>45177</v>
      </c>
      <c r="D5" s="322"/>
      <c r="E5" s="79" t="str">
        <f ca="1">IF(C5+30&gt;=TODAY(),"Patience Premium","")</f>
        <v>Patience Premium</v>
      </c>
      <c r="G5" s="5" t="s">
        <v>8</v>
      </c>
      <c r="I5" s="321">
        <v>2017360000</v>
      </c>
      <c r="J5" s="321"/>
      <c r="K5" s="91"/>
      <c r="L5" s="52"/>
    </row>
    <row r="6" spans="1:12" ht="15.75" customHeight="1" x14ac:dyDescent="0.15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3651.4216000000001</v>
      </c>
      <c r="J6" s="361"/>
      <c r="K6" s="91"/>
    </row>
    <row r="7" spans="1:12" ht="15.75" customHeight="1" x14ac:dyDescent="0.15">
      <c r="B7" s="86" t="s">
        <v>10</v>
      </c>
      <c r="C7" s="218">
        <f>(Data!C42*Exchange_Rate)/I4</f>
        <v>0</v>
      </c>
      <c r="D7" s="218">
        <f>(Data!C43*Exchange_Rate)/I4</f>
        <v>1.7338546834299702E-2</v>
      </c>
      <c r="E7" s="93"/>
      <c r="F7" s="6"/>
    </row>
    <row r="8" spans="1:12" ht="15.75" customHeight="1" x14ac:dyDescent="0.15">
      <c r="C8" s="60"/>
      <c r="E8" s="6"/>
      <c r="G8" s="17" t="s">
        <v>11</v>
      </c>
      <c r="H8" s="83"/>
      <c r="I8" s="6"/>
      <c r="J8" s="6"/>
    </row>
    <row r="9" spans="1:12" ht="15.75" customHeight="1" x14ac:dyDescent="0.15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 x14ac:dyDescent="0.15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0.33902227015390218</v>
      </c>
      <c r="J10" s="223">
        <f>I4/(Data!C7*Data!C4/Common_Shares*Exchange_Rate)</f>
        <v>3.6523314492651928</v>
      </c>
    </row>
    <row r="11" spans="1:12" ht="15.75" customHeight="1" thickBot="1" x14ac:dyDescent="0.2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396</v>
      </c>
      <c r="J11" s="360"/>
    </row>
    <row r="12" spans="1:12" ht="15.75" customHeight="1" thickTop="1" x14ac:dyDescent="0.15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1.08174733320872</v>
      </c>
      <c r="J12" s="227" t="str">
        <f>IF(I11=Dashboard!J4,J4,I11&amp;"/"&amp;Dashboard!J4)</f>
        <v>CNY/HKD</v>
      </c>
    </row>
    <row r="13" spans="1:12" ht="15.75" customHeight="1" x14ac:dyDescent="0.15"/>
    <row r="14" spans="1:12" ht="15.75" customHeight="1" x14ac:dyDescent="0.15">
      <c r="A14" s="10"/>
      <c r="B14" s="16" t="s">
        <v>16</v>
      </c>
      <c r="C14" s="134" t="s">
        <v>278</v>
      </c>
      <c r="D14" s="84"/>
      <c r="E14" s="167">
        <f ca="1">Val_Models!C44</f>
        <v>2.791201757075084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15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15">
      <c r="B16" s="82">
        <f>I4</f>
        <v>1.81</v>
      </c>
      <c r="C16" s="347">
        <v>0.2</v>
      </c>
      <c r="D16" s="238">
        <f ca="1">I37/B16-(1+C16)</f>
        <v>0.38895583635688635</v>
      </c>
      <c r="E16" s="341" t="s">
        <v>21</v>
      </c>
      <c r="F16" s="362">
        <f>(Val_Models!G16)*Exchange_Rate</f>
        <v>3.1197655342668424</v>
      </c>
      <c r="G16" s="341" t="s">
        <v>22</v>
      </c>
      <c r="H16" s="239">
        <f>B16-$F$16</f>
        <v>-1.3097655342668424</v>
      </c>
      <c r="I16" s="336">
        <v>0</v>
      </c>
      <c r="J16" s="166">
        <f>I16/B16</f>
        <v>0</v>
      </c>
    </row>
    <row r="17" spans="1:10" ht="15.75" customHeight="1" x14ac:dyDescent="0.15">
      <c r="B17" s="116">
        <f ca="1">MIN((I37+I38)/2,I37/(1+C16), IF(J20=0,E14,I37/(1+C16)))</f>
        <v>2.396675053171637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-0.72309048109520546</v>
      </c>
      <c r="I17" s="337"/>
      <c r="J17" s="149">
        <f ca="1">I16/B17</f>
        <v>0</v>
      </c>
    </row>
    <row r="18" spans="1:10" ht="15.75" customHeight="1" x14ac:dyDescent="0.15">
      <c r="B18" s="129">
        <f>C37</f>
        <v>1.81</v>
      </c>
      <c r="C18" s="349"/>
      <c r="D18" s="237">
        <f ca="1">I37/B18-(1+C16)</f>
        <v>0.38895583635688635</v>
      </c>
      <c r="E18" s="343"/>
      <c r="F18" s="364"/>
      <c r="G18" s="343"/>
      <c r="H18" s="98">
        <f>B18-$F$16</f>
        <v>-1.3097655342668424</v>
      </c>
      <c r="I18" s="338"/>
      <c r="J18" s="158">
        <f>I16/B18</f>
        <v>0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15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 x14ac:dyDescent="0.15">
      <c r="A22" s="6"/>
      <c r="B22" s="19" t="s">
        <v>25</v>
      </c>
      <c r="C22" s="366" t="s">
        <v>409</v>
      </c>
      <c r="D22" s="352"/>
      <c r="E22" s="352"/>
      <c r="F22" s="352"/>
      <c r="G22" s="366" t="s">
        <v>407</v>
      </c>
      <c r="H22" s="366"/>
      <c r="I22" s="352"/>
      <c r="J22" s="352"/>
    </row>
    <row r="23" spans="1:10" ht="52.5" customHeight="1" x14ac:dyDescent="0.15">
      <c r="A23" s="6"/>
      <c r="B23" s="138" t="s">
        <v>26</v>
      </c>
      <c r="C23" s="339" t="s">
        <v>413</v>
      </c>
      <c r="D23" s="340"/>
      <c r="E23" s="340"/>
      <c r="F23" s="340"/>
      <c r="G23" s="339" t="s">
        <v>410</v>
      </c>
      <c r="H23" s="339"/>
      <c r="I23" s="340"/>
      <c r="J23" s="340"/>
    </row>
    <row r="24" spans="1:10" ht="52.5" customHeight="1" x14ac:dyDescent="0.15">
      <c r="A24" s="6"/>
      <c r="B24" s="19" t="s">
        <v>291</v>
      </c>
      <c r="C24" s="369" t="s">
        <v>411</v>
      </c>
      <c r="D24" s="369"/>
      <c r="E24" s="369"/>
      <c r="F24" s="369"/>
      <c r="G24" s="369"/>
      <c r="H24" s="369"/>
      <c r="I24" s="369"/>
      <c r="J24" s="369"/>
    </row>
    <row r="25" spans="1:10" ht="52.5" customHeight="1" x14ac:dyDescent="0.15">
      <c r="A25" s="6"/>
      <c r="B25" s="138" t="s">
        <v>290</v>
      </c>
      <c r="C25" s="370" t="s">
        <v>412</v>
      </c>
      <c r="D25" s="370"/>
      <c r="E25" s="370"/>
      <c r="F25" s="370"/>
      <c r="G25" s="370"/>
      <c r="H25" s="370"/>
      <c r="I25" s="370"/>
      <c r="J25" s="370"/>
    </row>
    <row r="26" spans="1:10" ht="15.75" customHeight="1" x14ac:dyDescent="0.15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15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15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 x14ac:dyDescent="0.15">
      <c r="B29" s="18" t="s">
        <v>31</v>
      </c>
      <c r="C29" s="335">
        <f>C33/D27</f>
        <v>8.2272727272727275E-2</v>
      </c>
      <c r="D29" s="329"/>
      <c r="E29" s="334">
        <f>E33/D27</f>
        <v>7.2727272727272724E-2</v>
      </c>
      <c r="F29" s="329"/>
      <c r="G29" s="345">
        <f>G33/D27</f>
        <v>0</v>
      </c>
      <c r="H29" s="345"/>
      <c r="I29" s="344">
        <f>C29+E29+G29</f>
        <v>0.155</v>
      </c>
      <c r="J29" s="344"/>
    </row>
    <row r="30" spans="1:10" ht="15.75" customHeight="1" x14ac:dyDescent="0.15">
      <c r="B30" s="18" t="s">
        <v>32</v>
      </c>
      <c r="C30" s="321">
        <v>30000</v>
      </c>
      <c r="D30" s="322"/>
      <c r="E30" s="321">
        <v>30000</v>
      </c>
      <c r="F30" s="322"/>
      <c r="G30" s="321"/>
      <c r="H30" s="321"/>
      <c r="I30" s="350">
        <f>C30+E30+G30</f>
        <v>60000</v>
      </c>
      <c r="J30" s="350"/>
    </row>
    <row r="31" spans="1:10" ht="15.75" customHeight="1" x14ac:dyDescent="0.15">
      <c r="B31" s="18" t="s">
        <v>33</v>
      </c>
      <c r="C31" s="323">
        <v>1.81</v>
      </c>
      <c r="D31" s="322"/>
      <c r="E31" s="323">
        <v>1.6</v>
      </c>
      <c r="F31" s="322"/>
      <c r="G31" s="323"/>
      <c r="H31" s="323"/>
      <c r="I31" s="333"/>
      <c r="J31" s="333"/>
    </row>
    <row r="32" spans="1:10" ht="15.75" customHeight="1" x14ac:dyDescent="0.15">
      <c r="B32" s="18" t="s">
        <v>34</v>
      </c>
      <c r="C32" s="330">
        <f>C31*$I$5/1000000</f>
        <v>3651.4216000000001</v>
      </c>
      <c r="D32" s="329"/>
      <c r="E32" s="330">
        <f>E31*$I$5/1000000</f>
        <v>3227.7759999999998</v>
      </c>
      <c r="F32" s="329"/>
      <c r="G32" s="330">
        <f>G31*$I$5/1000000</f>
        <v>0</v>
      </c>
      <c r="H32" s="330"/>
      <c r="I32" s="333"/>
      <c r="J32" s="333"/>
    </row>
    <row r="33" spans="2:11" ht="15.75" customHeight="1" x14ac:dyDescent="0.15">
      <c r="B33" s="2" t="s">
        <v>35</v>
      </c>
      <c r="C33" s="326">
        <f>C30*C31</f>
        <v>54300</v>
      </c>
      <c r="D33" s="327"/>
      <c r="E33" s="326">
        <f>E30*E31</f>
        <v>48000</v>
      </c>
      <c r="F33" s="327"/>
      <c r="G33" s="326">
        <f>G30*G31</f>
        <v>0</v>
      </c>
      <c r="H33" s="326"/>
      <c r="I33" s="326">
        <f>C33+E33+G33</f>
        <v>102300</v>
      </c>
      <c r="J33" s="326"/>
    </row>
    <row r="34" spans="2:11" ht="15.75" customHeight="1" x14ac:dyDescent="0.15">
      <c r="B34" s="1" t="s">
        <v>36</v>
      </c>
      <c r="C34" s="333"/>
      <c r="D34" s="376"/>
      <c r="E34" s="328">
        <f>IF(C33=0,"-",(C33+E33)/(C30+E30))</f>
        <v>1.7050000000000001</v>
      </c>
      <c r="F34" s="329"/>
      <c r="G34" s="78"/>
      <c r="H34" s="78"/>
      <c r="I34" s="328">
        <f>IF(I33=0,"",I33/I30)</f>
        <v>1.7050000000000001</v>
      </c>
      <c r="J34" s="328"/>
    </row>
    <row r="35" spans="2:11" ht="15.75" customHeight="1" x14ac:dyDescent="0.15">
      <c r="B35" s="1" t="s">
        <v>37</v>
      </c>
      <c r="C35" s="377"/>
      <c r="D35" s="378"/>
      <c r="E35" s="324">
        <f>IF(E34="-","-",E34*$I$5/1000000)</f>
        <v>3439.5988000000002</v>
      </c>
      <c r="F35" s="325"/>
      <c r="G35" s="230"/>
      <c r="H35" s="230"/>
      <c r="I35" s="324">
        <f>IF(I34="","",I34*$I$5/1000000)</f>
        <v>3439.5988000000002</v>
      </c>
      <c r="J35" s="324"/>
    </row>
    <row r="36" spans="2:11" ht="15.75" customHeight="1" x14ac:dyDescent="0.15"/>
    <row r="37" spans="2:11" ht="15.75" customHeight="1" x14ac:dyDescent="0.15">
      <c r="B37" s="87" t="s">
        <v>255</v>
      </c>
      <c r="C37" s="374">
        <f>C31</f>
        <v>1.81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2.8760100638059645</v>
      </c>
      <c r="J37" s="373"/>
    </row>
    <row r="38" spans="2:11" ht="15.75" customHeight="1" x14ac:dyDescent="0.15">
      <c r="B38" s="87" t="s">
        <v>280</v>
      </c>
      <c r="C38" s="374">
        <f>E34</f>
        <v>1.7050000000000001</v>
      </c>
      <c r="D38" s="375"/>
      <c r="E38" s="6"/>
      <c r="F38" s="6"/>
      <c r="G38" s="371" t="s">
        <v>279</v>
      </c>
      <c r="H38" s="371"/>
      <c r="I38" s="372">
        <f ca="1">Val_Models!C47</f>
        <v>2.2329614056600673</v>
      </c>
      <c r="J38" s="373"/>
    </row>
    <row r="39" spans="2:11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15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15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 x14ac:dyDescent="0.15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 x14ac:dyDescent="0.15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 x14ac:dyDescent="0.15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 x14ac:dyDescent="0.15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15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15">
      <c r="B47" s="3" t="s">
        <v>268</v>
      </c>
      <c r="C47" s="6"/>
      <c r="D47" s="6"/>
      <c r="E47" s="171">
        <f ca="1">I37/C31-1</f>
        <v>0.58895583635688631</v>
      </c>
      <c r="F47" s="171">
        <f ca="1">I37/C38-1</f>
        <v>0.68680942158707592</v>
      </c>
      <c r="G47" s="6"/>
      <c r="H47" s="6"/>
      <c r="I47" s="6"/>
      <c r="J47" s="233"/>
    </row>
    <row r="48" spans="2:11" ht="15.75" customHeight="1" x14ac:dyDescent="0.15">
      <c r="B48" s="3" t="s">
        <v>269</v>
      </c>
      <c r="C48" s="6"/>
      <c r="D48" s="6"/>
      <c r="E48" s="171">
        <f ca="1">Val_Models!C47/C31-1</f>
        <v>0.23368033461882165</v>
      </c>
      <c r="F48" s="171">
        <f ca="1">Val_Models!C47/C38-1</f>
        <v>0.30965478337833852</v>
      </c>
      <c r="G48" s="6"/>
      <c r="H48" s="6"/>
      <c r="I48" s="6"/>
      <c r="J48" s="6"/>
    </row>
    <row r="49" spans="2:10" ht="15.75" customHeight="1" x14ac:dyDescent="0.15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15">
      <c r="B50" s="3" t="s">
        <v>271</v>
      </c>
      <c r="C50" s="6"/>
      <c r="D50" s="6"/>
      <c r="E50" s="54">
        <f ca="1">IF(E47&lt;=0,0,AVERAGE(F41:F44,0.5*(1+E47+E48-C16)))</f>
        <v>0.68085220917742473</v>
      </c>
      <c r="F50" s="171">
        <f ca="1">IF(F47&lt;=0,0,AVERAGE(F41:F44,0.5*(1+F47+F48-C16)))</f>
        <v>0.69823501257639531</v>
      </c>
      <c r="G50" s="77"/>
      <c r="H50" s="6"/>
      <c r="I50" s="6"/>
      <c r="J50" s="6"/>
    </row>
    <row r="51" spans="2:10" ht="15.75" customHeight="1" x14ac:dyDescent="0.15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 x14ac:dyDescent="0.15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 x14ac:dyDescent="0.15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 x14ac:dyDescent="0.15"/>
    <row r="55" spans="2:10" ht="15.75" customHeight="1" x14ac:dyDescent="0.15">
      <c r="B55" s="17" t="s">
        <v>275</v>
      </c>
    </row>
    <row r="56" spans="2:10" ht="15.75" customHeight="1" x14ac:dyDescent="0.15">
      <c r="B56" s="137" t="s">
        <v>276</v>
      </c>
    </row>
    <row r="57" spans="2:10" ht="15.75" customHeight="1" x14ac:dyDescent="0.15">
      <c r="B57" s="3" t="s">
        <v>287</v>
      </c>
    </row>
    <row r="58" spans="2:10" ht="15.75" customHeight="1" x14ac:dyDescent="0.15">
      <c r="B58" s="3" t="s">
        <v>286</v>
      </c>
    </row>
    <row r="59" spans="2:10" ht="15.75" customHeight="1" x14ac:dyDescent="0.15"/>
    <row r="60" spans="2:10" ht="15.75" customHeight="1" x14ac:dyDescent="0.15">
      <c r="B60" s="137" t="s">
        <v>277</v>
      </c>
    </row>
    <row r="61" spans="2:10" ht="15.75" customHeight="1" x14ac:dyDescent="0.15">
      <c r="B61" s="3" t="s">
        <v>288</v>
      </c>
    </row>
    <row r="62" spans="2:10" ht="15.75" customHeight="1" x14ac:dyDescent="0.15">
      <c r="B62" s="3" t="s">
        <v>289</v>
      </c>
    </row>
    <row r="63" spans="2:10" ht="15.75" customHeight="1" x14ac:dyDescent="0.15"/>
    <row r="64" spans="2:10" ht="15.75" customHeight="1" x14ac:dyDescent="0.15">
      <c r="B64" s="137" t="s">
        <v>388</v>
      </c>
    </row>
    <row r="65" spans="2:2" ht="15.75" customHeight="1" x14ac:dyDescent="0.15">
      <c r="B65" s="3" t="s">
        <v>390</v>
      </c>
    </row>
    <row r="66" spans="2:2" ht="15.75" customHeight="1" x14ac:dyDescent="0.15">
      <c r="B66" s="3" t="s">
        <v>389</v>
      </c>
    </row>
    <row r="67" spans="2:2" ht="15.75" customHeight="1" x14ac:dyDescent="0.15"/>
    <row r="68" spans="2:2" ht="15.75" customHeight="1" x14ac:dyDescent="0.15"/>
    <row r="69" spans="2:2" ht="15.75" customHeight="1" x14ac:dyDescent="0.15"/>
    <row r="70" spans="2:2" ht="15.75" customHeight="1" x14ac:dyDescent="0.15"/>
    <row r="71" spans="2:2" ht="15.75" customHeight="1" x14ac:dyDescent="0.15"/>
    <row r="72" spans="2:2" ht="15.75" customHeight="1" x14ac:dyDescent="0.15"/>
    <row r="73" spans="2:2" ht="15.75" customHeight="1" x14ac:dyDescent="0.15"/>
    <row r="74" spans="2:2" ht="15.75" customHeight="1" x14ac:dyDescent="0.15"/>
    <row r="75" spans="2:2" ht="15.75" customHeight="1" x14ac:dyDescent="0.15"/>
    <row r="76" spans="2:2" ht="15.75" customHeight="1" x14ac:dyDescent="0.15"/>
    <row r="77" spans="2:2" ht="15.75" customHeight="1" x14ac:dyDescent="0.15"/>
    <row r="78" spans="2:2" ht="15.75" customHeight="1" x14ac:dyDescent="0.15"/>
    <row r="79" spans="2:2" ht="15.75" customHeight="1" x14ac:dyDescent="0.15"/>
    <row r="80" spans="2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23"/>
      <c r="B1" s="24"/>
      <c r="C1" s="25"/>
      <c r="D1" s="25"/>
      <c r="E1" s="25"/>
      <c r="F1" s="25"/>
    </row>
    <row r="2" spans="1:14" ht="15.75" customHeight="1" x14ac:dyDescent="0.2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 x14ac:dyDescent="0.15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15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15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15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15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15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15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15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15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15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15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 x14ac:dyDescent="0.15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15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15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15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15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15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15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15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15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15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15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15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15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15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15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15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15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15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15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15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15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15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15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15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15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15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15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15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15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15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15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15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15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15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15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15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15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15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15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15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15">
      <c r="A57" s="9"/>
      <c r="B57" s="17" t="s">
        <v>338</v>
      </c>
      <c r="C57" s="31"/>
      <c r="D57" s="31"/>
      <c r="E57" s="31"/>
      <c r="F57" s="31"/>
    </row>
    <row r="58" spans="1:14" ht="15" customHeight="1" x14ac:dyDescent="0.15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15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15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 x14ac:dyDescent="0.15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15">
      <c r="A62" s="9"/>
      <c r="B62" s="1"/>
      <c r="C62" s="35"/>
      <c r="D62" s="35"/>
    </row>
    <row r="63" spans="1:14" ht="15.75" customHeight="1" x14ac:dyDescent="0.15">
      <c r="A63" s="9"/>
      <c r="B63" s="32"/>
      <c r="C63" s="35"/>
      <c r="D63" s="35"/>
    </row>
    <row r="64" spans="1:14" ht="15.75" customHeight="1" x14ac:dyDescent="0.15">
      <c r="A64" s="9"/>
      <c r="B64" s="32"/>
      <c r="C64" s="36"/>
      <c r="D64" s="36"/>
    </row>
    <row r="65" spans="1:4" ht="15.75" customHeight="1" x14ac:dyDescent="0.15">
      <c r="A65" s="9"/>
      <c r="B65" s="32"/>
      <c r="C65" s="35"/>
      <c r="D65" s="35"/>
    </row>
    <row r="66" spans="1:4" ht="15.75" customHeight="1" x14ac:dyDescent="0.15">
      <c r="A66" s="9"/>
      <c r="B66" s="32"/>
      <c r="C66" s="36"/>
      <c r="D66" s="36"/>
    </row>
    <row r="67" spans="1:4" ht="15.75" customHeight="1" x14ac:dyDescent="0.15">
      <c r="A67" s="9"/>
    </row>
    <row r="68" spans="1:4" ht="15.75" customHeight="1" x14ac:dyDescent="0.15">
      <c r="A68" s="9"/>
    </row>
    <row r="69" spans="1:4" ht="15.75" customHeight="1" x14ac:dyDescent="0.15">
      <c r="A69" s="9"/>
    </row>
    <row r="70" spans="1:4" ht="15.75" customHeight="1" x14ac:dyDescent="0.15">
      <c r="A70" s="9"/>
    </row>
    <row r="71" spans="1:4" ht="15.75" customHeight="1" x14ac:dyDescent="0.15">
      <c r="A71" s="9"/>
    </row>
    <row r="72" spans="1:4" ht="15.75" customHeight="1" x14ac:dyDescent="0.15">
      <c r="A72" s="9"/>
    </row>
    <row r="73" spans="1:4" ht="15.75" customHeight="1" x14ac:dyDescent="0.15">
      <c r="A73" s="9"/>
    </row>
    <row r="74" spans="1:4" ht="15.75" customHeight="1" x14ac:dyDescent="0.15">
      <c r="A74" s="9"/>
    </row>
    <row r="75" spans="1:4" ht="15.75" customHeight="1" x14ac:dyDescent="0.15">
      <c r="A75" s="9"/>
    </row>
    <row r="76" spans="1:4" ht="15.75" customHeight="1" x14ac:dyDescent="0.15">
      <c r="A76" s="9"/>
    </row>
    <row r="77" spans="1:4" ht="15.75" customHeight="1" x14ac:dyDescent="0.15">
      <c r="A77" s="9"/>
    </row>
    <row r="78" spans="1:4" ht="15.75" customHeight="1" x14ac:dyDescent="0.15">
      <c r="A78" s="9"/>
    </row>
    <row r="79" spans="1:4" ht="15.75" customHeight="1" x14ac:dyDescent="0.15">
      <c r="A79" s="9"/>
    </row>
    <row r="80" spans="1:4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15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 x14ac:dyDescent="0.15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5.0402065581644786</v>
      </c>
      <c r="K4" s="43"/>
    </row>
    <row r="5" spans="1:11" ht="15" customHeight="1" x14ac:dyDescent="0.15">
      <c r="C5" s="6"/>
      <c r="D5" s="6"/>
      <c r="E5" s="18" t="s">
        <v>72</v>
      </c>
      <c r="I5" s="6"/>
      <c r="K5" s="43"/>
    </row>
    <row r="6" spans="1:11" ht="15" customHeight="1" thickBot="1" x14ac:dyDescent="0.2">
      <c r="B6" s="37" t="s">
        <v>317</v>
      </c>
      <c r="C6" s="6"/>
      <c r="D6" s="193">
        <f>E49-I49-E53</f>
        <v>5135078.6996028041</v>
      </c>
      <c r="E6" s="149">
        <f>1-D6/D3</f>
        <v>0.45357621706420692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 x14ac:dyDescent="0.15">
      <c r="B7" s="32" t="s">
        <v>318</v>
      </c>
      <c r="C7" s="6"/>
      <c r="D7" s="187">
        <f>MAX((D6*Exchange_Rate*Data!C4)/Common_Shares, 0)</f>
        <v>2.7535282196099038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 x14ac:dyDescent="0.15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 x14ac:dyDescent="0.2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 x14ac:dyDescent="0.15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15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4" x14ac:dyDescent="0.15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4" x14ac:dyDescent="0.15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 x14ac:dyDescent="0.15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4" x14ac:dyDescent="0.15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4" x14ac:dyDescent="0.15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 x14ac:dyDescent="0.15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4" x14ac:dyDescent="0.15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 x14ac:dyDescent="0.15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 x14ac:dyDescent="0.15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 x14ac:dyDescent="0.15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 x14ac:dyDescent="0.15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15">
      <c r="C23" s="6"/>
      <c r="D23" s="6"/>
      <c r="E23" s="6"/>
      <c r="F23" s="283" t="s">
        <v>382</v>
      </c>
      <c r="G23" s="6"/>
      <c r="H23" s="6"/>
      <c r="I23" s="6"/>
    </row>
    <row r="24" spans="2:10" ht="15" customHeight="1" x14ac:dyDescent="0.15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 x14ac:dyDescent="0.15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 x14ac:dyDescent="0.15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 x14ac:dyDescent="0.15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 x14ac:dyDescent="0.15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 x14ac:dyDescent="0.15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15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15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 x14ac:dyDescent="0.15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 x14ac:dyDescent="0.15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4" x14ac:dyDescent="0.15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4" x14ac:dyDescent="0.15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 x14ac:dyDescent="0.15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 x14ac:dyDescent="0.15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15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4" x14ac:dyDescent="0.15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15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15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 x14ac:dyDescent="0.15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15">
      <c r="C43" s="6"/>
      <c r="D43" s="6"/>
      <c r="E43" s="6"/>
      <c r="F43" s="6"/>
      <c r="G43" s="6"/>
      <c r="H43" s="6"/>
      <c r="I43" s="6"/>
    </row>
    <row r="44" spans="2:10" ht="15" customHeight="1" x14ac:dyDescent="0.15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 x14ac:dyDescent="0.15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 x14ac:dyDescent="0.15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 x14ac:dyDescent="0.15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 x14ac:dyDescent="0.2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 x14ac:dyDescent="0.15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 x14ac:dyDescent="0.15">
      <c r="C50" s="6"/>
      <c r="D50" s="6"/>
      <c r="E50" s="6"/>
      <c r="I50" s="6"/>
    </row>
    <row r="51" spans="2:10" ht="14" x14ac:dyDescent="0.15">
      <c r="B51" s="17" t="s">
        <v>110</v>
      </c>
      <c r="C51" s="17"/>
      <c r="D51" s="31"/>
    </row>
    <row r="52" spans="2:10" ht="14" x14ac:dyDescent="0.15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 x14ac:dyDescent="0.15">
      <c r="B53" s="5" t="s">
        <v>181</v>
      </c>
      <c r="C53" s="51">
        <f>D4</f>
        <v>-1913</v>
      </c>
      <c r="D53" s="54">
        <f>IF(E53=0, 0,E53/C53)</f>
        <v>0.33902227015390218</v>
      </c>
      <c r="E53" s="51">
        <f>MAX(C53,C53*Dashboard!I10)</f>
        <v>-648.54960280441492</v>
      </c>
      <c r="F53" s="6"/>
      <c r="G53" s="6"/>
      <c r="H53" s="6"/>
      <c r="I53" s="95"/>
    </row>
    <row r="54" spans="2:10" ht="15" customHeight="1" x14ac:dyDescent="0.15">
      <c r="C54" s="6"/>
      <c r="D54" s="6"/>
      <c r="E54" s="6"/>
      <c r="F54" s="6"/>
      <c r="G54" s="6"/>
      <c r="H54" s="6"/>
      <c r="I54" s="6"/>
    </row>
    <row r="55" spans="2:10" thickBot="1" x14ac:dyDescent="0.2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thickTop="1" x14ac:dyDescent="0.15">
      <c r="B56" s="37" t="s">
        <v>197</v>
      </c>
      <c r="C56" s="6"/>
      <c r="D56" s="350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4" x14ac:dyDescent="0.15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 x14ac:dyDescent="0.15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 x14ac:dyDescent="0.15">
      <c r="C59" s="6"/>
      <c r="D59" s="6"/>
      <c r="E59" s="6"/>
      <c r="F59" s="6"/>
      <c r="G59" s="6"/>
      <c r="H59" s="6"/>
      <c r="I59" s="6"/>
    </row>
    <row r="60" spans="2:10" ht="14" x14ac:dyDescent="0.15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 x14ac:dyDescent="0.15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4" x14ac:dyDescent="0.15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4" x14ac:dyDescent="0.15">
      <c r="B63" s="32" t="s">
        <v>116</v>
      </c>
      <c r="C63" s="6"/>
      <c r="D63" s="350">
        <f>((Dashboard!I6*Data!C4)+D55+E53-C61-C62)</f>
        <v>-3811608.9496028051</v>
      </c>
      <c r="E63" s="350"/>
      <c r="F63" s="6"/>
      <c r="G63" s="6"/>
      <c r="H63" s="6"/>
      <c r="I63" s="6"/>
    </row>
    <row r="64" spans="2:10" ht="15" customHeight="1" x14ac:dyDescent="0.15">
      <c r="C64" s="6"/>
      <c r="D64" s="6"/>
      <c r="E64" s="6"/>
      <c r="F64" s="6"/>
      <c r="G64" s="6"/>
      <c r="H64" s="6"/>
      <c r="I64" s="6"/>
    </row>
    <row r="65" spans="2:9" ht="15" customHeight="1" x14ac:dyDescent="0.15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15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 x14ac:dyDescent="0.15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 x14ac:dyDescent="0.15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baseColWidth="10" defaultColWidth="12.5" defaultRowHeight="15" customHeight="1" x14ac:dyDescent="0.15"/>
  <cols>
    <col min="1" max="1" width="2.5" style="3" customWidth="1"/>
    <col min="2" max="5" width="26.83203125" style="3" customWidth="1"/>
    <col min="6" max="9" width="22.6640625" style="3" customWidth="1"/>
    <col min="10" max="10" width="2.5" style="3" customWidth="1"/>
    <col min="11" max="11" width="87.5" style="3" customWidth="1"/>
    <col min="12" max="16384" width="12.5" style="3"/>
  </cols>
  <sheetData>
    <row r="1" spans="1:12" ht="15" customHeight="1" x14ac:dyDescent="0.15">
      <c r="F1" s="6"/>
      <c r="G1" s="6"/>
      <c r="H1" s="6"/>
    </row>
    <row r="2" spans="1:12" ht="15.5" customHeight="1" x14ac:dyDescent="0.15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15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 x14ac:dyDescent="0.15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 x14ac:dyDescent="0.15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 x14ac:dyDescent="0.15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 x14ac:dyDescent="0.15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 x14ac:dyDescent="0.15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 x14ac:dyDescent="0.15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 x14ac:dyDescent="0.15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 x14ac:dyDescent="0.15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 x14ac:dyDescent="0.15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 x14ac:dyDescent="0.15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 x14ac:dyDescent="0.15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 x14ac:dyDescent="0.15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 x14ac:dyDescent="0.15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 x14ac:dyDescent="0.15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 x14ac:dyDescent="0.15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 x14ac:dyDescent="0.15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 x14ac:dyDescent="0.15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 x14ac:dyDescent="0.15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 x14ac:dyDescent="0.15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 x14ac:dyDescent="0.15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 x14ac:dyDescent="0.15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 x14ac:dyDescent="0.15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 x14ac:dyDescent="0.15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 x14ac:dyDescent="0.15"/>
    <row r="28" spans="2:12" ht="15.75" customHeight="1" x14ac:dyDescent="0.15"/>
    <row r="29" spans="2:12" ht="15.75" customHeight="1" x14ac:dyDescent="0.15"/>
    <row r="30" spans="2:12" ht="15.75" customHeight="1" x14ac:dyDescent="0.15"/>
    <row r="31" spans="2:12" ht="15.75" customHeight="1" x14ac:dyDescent="0.15"/>
    <row r="32" spans="2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baseColWidth="10" defaultColWidth="8.83203125" defaultRowHeight="13" x14ac:dyDescent="0.1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6" x14ac:dyDescent="0.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 x14ac:dyDescent="0.15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 x14ac:dyDescent="0.15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 x14ac:dyDescent="0.15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 x14ac:dyDescent="0.15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 x14ac:dyDescent="0.15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1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1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1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x14ac:dyDescent="0.15">
      <c r="B46" s="297" t="s">
        <v>348</v>
      </c>
    </row>
    <row r="47" spans="2:13" ht="16" x14ac:dyDescent="0.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1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1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1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x14ac:dyDescent="0.15">
      <c r="B71" s="297" t="s">
        <v>358</v>
      </c>
    </row>
    <row r="72" spans="2:13" ht="16" x14ac:dyDescent="0.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15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15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15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15">
      <c r="B76" s="292" t="s">
        <v>352</v>
      </c>
      <c r="J76" s="296"/>
      <c r="K76" s="296"/>
      <c r="L76" s="296"/>
      <c r="M76" s="296"/>
    </row>
    <row r="78" spans="2:13" x14ac:dyDescent="0.15">
      <c r="B78" s="297" t="s">
        <v>357</v>
      </c>
    </row>
    <row r="79" spans="2:13" ht="16" x14ac:dyDescent="0.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15">
      <c r="B80" s="292" t="s">
        <v>355</v>
      </c>
      <c r="J80" s="295"/>
      <c r="K80" s="295"/>
      <c r="L80" s="295"/>
      <c r="M80" s="295"/>
    </row>
    <row r="81" spans="2:13" x14ac:dyDescent="0.15">
      <c r="B81" s="292" t="s">
        <v>356</v>
      </c>
      <c r="J81" s="295"/>
      <c r="K81" s="295"/>
      <c r="L81" s="295"/>
      <c r="M81" s="295"/>
    </row>
    <row r="82" spans="2:13" x14ac:dyDescent="0.15">
      <c r="B82" s="292" t="s">
        <v>354</v>
      </c>
      <c r="J82" s="296"/>
      <c r="K82" s="296"/>
      <c r="L82" s="296"/>
      <c r="M82" s="296"/>
    </row>
    <row r="103" spans="2:13" ht="16" x14ac:dyDescent="0.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15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 x14ac:dyDescent="0.15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 x14ac:dyDescent="0.15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 x14ac:dyDescent="0.15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 x14ac:dyDescent="0.15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15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15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15">
      <c r="G116" s="292"/>
      <c r="H116" s="293"/>
      <c r="I116" s="301"/>
      <c r="J116" s="301"/>
      <c r="K116" s="301"/>
      <c r="L116" s="301"/>
      <c r="M116" s="301"/>
    </row>
    <row r="117" spans="2:15" x14ac:dyDescent="0.15">
      <c r="H117" s="293"/>
      <c r="I117" s="295"/>
      <c r="J117" s="293"/>
      <c r="K117" s="293"/>
      <c r="M117" s="293"/>
      <c r="N117" s="300"/>
      <c r="O117" s="295"/>
    </row>
    <row r="119" spans="2:15" x14ac:dyDescent="0.15">
      <c r="G119" s="292"/>
      <c r="I119" s="301"/>
      <c r="J119" s="301"/>
      <c r="K119" s="301"/>
      <c r="L119" s="301"/>
      <c r="M119" s="301"/>
    </row>
    <row r="120" spans="2:15" x14ac:dyDescent="0.15">
      <c r="I120" s="295"/>
      <c r="J120" s="301"/>
      <c r="K120" s="293"/>
      <c r="L120" s="300"/>
      <c r="M120" s="295"/>
      <c r="N120" s="292"/>
      <c r="O120" s="302"/>
    </row>
    <row r="122" spans="2:15" x14ac:dyDescent="0.15">
      <c r="G122" s="292"/>
    </row>
    <row r="123" spans="2:15" x14ac:dyDescent="0.15">
      <c r="K123" s="301"/>
      <c r="L123" s="300"/>
      <c r="M123" s="295"/>
    </row>
    <row r="125" spans="2:15" x14ac:dyDescent="0.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68.5" style="3" bestFit="1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15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15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 x14ac:dyDescent="0.15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15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 x14ac:dyDescent="0.2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 x14ac:dyDescent="0.15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 x14ac:dyDescent="0.15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 x14ac:dyDescent="0.15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 x14ac:dyDescent="0.2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 x14ac:dyDescent="0.15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15">
      <c r="C13" s="6"/>
      <c r="D13" s="6"/>
      <c r="E13" s="192"/>
      <c r="F13" s="6"/>
      <c r="G13" s="6"/>
    </row>
    <row r="14" spans="1:10" ht="15.75" customHeight="1" x14ac:dyDescent="0.15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 x14ac:dyDescent="0.15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5818077.8496028045</v>
      </c>
    </row>
    <row r="16" spans="1:10" ht="15.75" customHeight="1" x14ac:dyDescent="0.15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2.8840057548493099</v>
      </c>
    </row>
    <row r="17" spans="1:9" ht="15.75" customHeight="1" x14ac:dyDescent="0.15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15">
      <c r="B18" s="52" t="s">
        <v>200</v>
      </c>
      <c r="C18" s="51">
        <f>-Asset_Model!E53</f>
        <v>648.54960280441492</v>
      </c>
      <c r="D18" s="106">
        <f>C18*Data!C4/Common_Shares</f>
        <v>3.2148431752608109E-4</v>
      </c>
      <c r="E18" s="342"/>
      <c r="F18" s="89">
        <f>D15+(MIN(D4,0)*Data!C$4/Common_Shares)</f>
        <v>2.9541328518459768</v>
      </c>
      <c r="G18" s="88">
        <f>SUM(D16:D18)</f>
        <v>-7.0127096996666735E-2</v>
      </c>
    </row>
    <row r="19" spans="1:9" ht="15.75" customHeight="1" x14ac:dyDescent="0.15">
      <c r="F19" s="6"/>
      <c r="G19" s="6"/>
    </row>
    <row r="20" spans="1:9" ht="15.75" customHeight="1" x14ac:dyDescent="0.15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 x14ac:dyDescent="0.15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 x14ac:dyDescent="0.15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2.759073981882298</v>
      </c>
      <c r="G22" s="271">
        <f>F22*Exchange_Rate</f>
        <v>2.9846209220267399</v>
      </c>
      <c r="I22" s="43"/>
    </row>
    <row r="23" spans="1:9" ht="15.75" customHeight="1" x14ac:dyDescent="0.15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2.759073981882298</v>
      </c>
      <c r="G23" s="272">
        <f>F23*Exchange_Rate</f>
        <v>2.9846209220267399</v>
      </c>
      <c r="I23" s="43"/>
    </row>
    <row r="24" spans="1:9" ht="15.5" customHeight="1" x14ac:dyDescent="0.15">
      <c r="C24" s="6"/>
      <c r="D24" s="6"/>
      <c r="E24" s="391" t="s">
        <v>333</v>
      </c>
      <c r="F24" s="392"/>
      <c r="G24" s="143">
        <f>MIN(G22,G23)+ABS(G22-G23)*Qualitative_Analysis!$E$64</f>
        <v>2.9846209220267399</v>
      </c>
    </row>
    <row r="25" spans="1:9" ht="15.75" customHeight="1" x14ac:dyDescent="0.15"/>
    <row r="26" spans="1:9" ht="15.75" customHeight="1" x14ac:dyDescent="0.15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15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 x14ac:dyDescent="0.15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 x14ac:dyDescent="0.15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 x14ac:dyDescent="0.15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 x14ac:dyDescent="0.15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 x14ac:dyDescent="0.2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15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 x14ac:dyDescent="0.15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 x14ac:dyDescent="0.15">
      <c r="B35" s="141" t="s">
        <v>305</v>
      </c>
      <c r="C35" s="273">
        <f>Dashboard!C31</f>
        <v>1.81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 x14ac:dyDescent="0.2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0.17376</v>
      </c>
      <c r="H36" s="6"/>
      <c r="I36" s="43"/>
    </row>
    <row r="37" spans="1:9" ht="15.75" customHeight="1" thickTop="1" x14ac:dyDescent="0.15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-0.30891065606174933</v>
      </c>
      <c r="I37" s="43" t="s">
        <v>302</v>
      </c>
    </row>
    <row r="38" spans="1:9" ht="15.75" customHeight="1" x14ac:dyDescent="0.15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1.0204013315910039</v>
      </c>
      <c r="I38" s="43"/>
    </row>
    <row r="39" spans="1:9" ht="15.75" customHeight="1" x14ac:dyDescent="0.15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-0.30273446976014584</v>
      </c>
      <c r="I39" s="43"/>
    </row>
    <row r="40" spans="1:9" ht="15.75" customHeight="1" x14ac:dyDescent="0.15">
      <c r="B40" s="20" t="s">
        <v>331</v>
      </c>
      <c r="C40" s="6"/>
      <c r="D40" s="6"/>
      <c r="E40" s="393" t="s">
        <v>320</v>
      </c>
      <c r="F40" s="371"/>
      <c r="G40" s="280">
        <f>Asset_Model!D7</f>
        <v>2.7535282196099038</v>
      </c>
    </row>
    <row r="41" spans="1:9" ht="15.75" customHeight="1" x14ac:dyDescent="0.15">
      <c r="C41" s="6"/>
      <c r="D41" s="6"/>
      <c r="E41" s="391" t="s">
        <v>306</v>
      </c>
      <c r="F41" s="391"/>
      <c r="G41" s="281">
        <f ca="1">MAX((G40+SUM(D39:G39))*Exchange_Rate,0)</f>
        <v>2.6511396031445744</v>
      </c>
    </row>
    <row r="42" spans="1:9" ht="15.75" customHeight="1" x14ac:dyDescent="0.15"/>
    <row r="43" spans="1:9" ht="15.75" customHeight="1" x14ac:dyDescent="0.15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 x14ac:dyDescent="0.15">
      <c r="B44" s="76" t="s">
        <v>278</v>
      </c>
      <c r="C44" s="261">
        <f ca="1">MIN(G24,G41)+ABS(G24-G41)*Qualitative_Analysis!$E$8</f>
        <v>2.791201757075084</v>
      </c>
      <c r="D44" s="262" t="str">
        <f>Dashboard!J4</f>
        <v>HKD</v>
      </c>
      <c r="E44" s="263">
        <f ca="1">(C44-G16)/C9</f>
        <v>2.7197843127115506</v>
      </c>
      <c r="F44" s="263">
        <f ca="1">C44/(Data!C29*Exchange_Rate*Data!C4/Common_Shares)</f>
        <v>0.52280638460837325</v>
      </c>
      <c r="G44" s="263">
        <f ca="1">(C44*Common_Shares)/(Data!$C$7*Data!$C$4*Exchange_Rate)</f>
        <v>5.6322618555854111</v>
      </c>
      <c r="I44" s="43"/>
    </row>
    <row r="45" spans="1:9" ht="15.75" customHeight="1" x14ac:dyDescent="0.15">
      <c r="B45" s="6" t="s">
        <v>313</v>
      </c>
      <c r="C45" s="255">
        <v>3</v>
      </c>
      <c r="D45" s="256" t="str">
        <f>D44</f>
        <v>HKD</v>
      </c>
      <c r="E45" s="223">
        <f>(C45-G16)/C9</f>
        <v>-3.3994152826601809</v>
      </c>
      <c r="F45" s="223">
        <f>C45/(Asset_Model!I3*Exchange_Rate*Data!C4/Common_Shares)</f>
        <v>0.59521370114095629</v>
      </c>
      <c r="G45" s="223">
        <f>(C45*Common_Shares)/(Data!$C$7*Data!$C$4*Exchange_Rate)</f>
        <v>6.0535880374561213</v>
      </c>
      <c r="I45" s="43"/>
    </row>
    <row r="46" spans="1:9" ht="15.75" customHeight="1" x14ac:dyDescent="0.15">
      <c r="B46" s="257" t="s">
        <v>314</v>
      </c>
      <c r="C46" s="258">
        <f ca="1">MIN(C45,C44)+ABS(C45-C44)*Qualitative_Analysis!E64</f>
        <v>2.8760100638059645</v>
      </c>
      <c r="D46" s="256" t="str">
        <f>D45</f>
        <v>HKD</v>
      </c>
      <c r="E46" s="223">
        <f ca="1">(C46-G16)/C9</f>
        <v>0.23432778318326594</v>
      </c>
      <c r="F46" s="223">
        <f ca="1">C46/(Asset_Model!I3*Exchange_Rate*Data!C4/Common_Shares)</f>
        <v>0.57061353153219529</v>
      </c>
      <c r="G46" s="223">
        <f ca="1">(C46*Common_Shares)/(Data!$C$7*Data!$C$4*Exchange_Rate)</f>
        <v>5.8033933726197331</v>
      </c>
    </row>
    <row r="47" spans="1:9" ht="15.75" customHeight="1" x14ac:dyDescent="0.15">
      <c r="B47" s="84" t="s">
        <v>279</v>
      </c>
      <c r="C47" s="259">
        <f ca="1">MAX(G41,C44)/(1+Dashboard!I14)</f>
        <v>2.2329614056600673</v>
      </c>
      <c r="D47" s="260" t="str">
        <f>D45</f>
        <v>HKD</v>
      </c>
      <c r="E47" s="224">
        <f ca="1">(C47-G16)/C9</f>
        <v>19.079999248654925</v>
      </c>
      <c r="F47" s="224">
        <f ca="1">C47/(Asset_Model!I3*Exchange_Rate*Data!C4/Common_Shares)</f>
        <v>0.44302974092261366</v>
      </c>
      <c r="G47" s="224">
        <f ca="1">(C47*Common_Shares)/(Data!$C$7*Data!$C$4*Exchange_Rate)</f>
        <v>4.5058094844683296</v>
      </c>
    </row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126</v>
      </c>
      <c r="C2" s="59"/>
      <c r="D2" s="12"/>
      <c r="E2" s="6"/>
      <c r="G2" s="42" t="s">
        <v>117</v>
      </c>
    </row>
    <row r="3" spans="1:7" ht="14" x14ac:dyDescent="0.15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4" x14ac:dyDescent="0.15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4" x14ac:dyDescent="0.15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 x14ac:dyDescent="0.15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 x14ac:dyDescent="0.15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 x14ac:dyDescent="0.15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4" x14ac:dyDescent="0.15">
      <c r="B9" s="60"/>
      <c r="C9" s="60"/>
      <c r="E9" s="6"/>
      <c r="G9" s="45"/>
    </row>
    <row r="10" spans="1:7" ht="15" customHeight="1" x14ac:dyDescent="0.2">
      <c r="A10" s="4"/>
      <c r="B10" s="11" t="s">
        <v>130</v>
      </c>
      <c r="C10" s="16"/>
      <c r="D10" s="16"/>
      <c r="E10" s="12"/>
      <c r="G10" s="119"/>
    </row>
    <row r="11" spans="1:7" ht="15" customHeight="1" x14ac:dyDescent="0.15">
      <c r="B11" s="62" t="s">
        <v>131</v>
      </c>
      <c r="C11" s="57"/>
      <c r="E11" s="6"/>
      <c r="G11" s="119"/>
    </row>
    <row r="12" spans="1:7" ht="15" customHeight="1" x14ac:dyDescent="0.15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 x14ac:dyDescent="0.15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 x14ac:dyDescent="0.15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 x14ac:dyDescent="0.15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 x14ac:dyDescent="0.15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 x14ac:dyDescent="0.15">
      <c r="B17" s="62" t="s">
        <v>138</v>
      </c>
      <c r="D17" s="25"/>
      <c r="E17" s="18"/>
      <c r="G17" s="119"/>
    </row>
    <row r="18" spans="2:7" ht="15" customHeight="1" x14ac:dyDescent="0.15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15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 x14ac:dyDescent="0.15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 x14ac:dyDescent="0.15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 x14ac:dyDescent="0.15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15">
      <c r="B23" s="62" t="s">
        <v>143</v>
      </c>
      <c r="D23" s="25"/>
      <c r="E23" s="18"/>
      <c r="G23" s="119"/>
    </row>
    <row r="24" spans="2:7" ht="15" customHeight="1" x14ac:dyDescent="0.15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 x14ac:dyDescent="0.15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 x14ac:dyDescent="0.15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 x14ac:dyDescent="0.15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 x14ac:dyDescent="0.15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 x14ac:dyDescent="0.15">
      <c r="B29" s="62" t="s">
        <v>147</v>
      </c>
      <c r="D29" s="25"/>
      <c r="E29" s="18"/>
      <c r="G29" s="119"/>
    </row>
    <row r="30" spans="2:7" ht="15" customHeight="1" x14ac:dyDescent="0.15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 x14ac:dyDescent="0.15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 x14ac:dyDescent="0.15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 x14ac:dyDescent="0.15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15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 x14ac:dyDescent="0.15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 x14ac:dyDescent="0.15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 x14ac:dyDescent="0.15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 x14ac:dyDescent="0.15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 x14ac:dyDescent="0.15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 x14ac:dyDescent="0.15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 x14ac:dyDescent="0.15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 x14ac:dyDescent="0.15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 x14ac:dyDescent="0.15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 x14ac:dyDescent="0.15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 x14ac:dyDescent="0.15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15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15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 x14ac:dyDescent="0.15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 x14ac:dyDescent="0.15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 x14ac:dyDescent="0.15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15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 x14ac:dyDescent="0.15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15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 x14ac:dyDescent="0.15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 x14ac:dyDescent="0.15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 x14ac:dyDescent="0.15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15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 x14ac:dyDescent="0.15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15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 x14ac:dyDescent="0.15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 x14ac:dyDescent="0.15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 x14ac:dyDescent="0.15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 x14ac:dyDescent="0.15">
      <c r="D63" s="6"/>
      <c r="E63" s="6"/>
      <c r="G63" s="119"/>
    </row>
    <row r="64" spans="2:8" ht="15" customHeight="1" x14ac:dyDescent="0.15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 x14ac:dyDescent="0.15">
      <c r="G65" s="120"/>
    </row>
    <row r="66" spans="2:7" ht="15" customHeight="1" x14ac:dyDescent="0.15">
      <c r="B66" s="33" t="s">
        <v>167</v>
      </c>
      <c r="C66" s="7"/>
      <c r="D66" s="7"/>
      <c r="E66" s="34"/>
    </row>
    <row r="67" spans="2:7" ht="15" customHeight="1" x14ac:dyDescent="0.15">
      <c r="B67" s="67" t="s">
        <v>168</v>
      </c>
      <c r="C67" s="68"/>
      <c r="D67" s="68"/>
      <c r="E67" s="69"/>
    </row>
    <row r="68" spans="2:7" ht="15" customHeight="1" x14ac:dyDescent="0.15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15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15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15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15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15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15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15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15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15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2023-09-09T14:07:41Z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