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.chen\PycharmProjects\Invest_Proc\financial_models\Opportunities\"/>
    </mc:Choice>
  </mc:AlternateContent>
  <xr:revisionPtr revIDLastSave="0" documentId="13_ncr:1_{E2A36FB3-BD98-4212-9F4C-1FF867DA37B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ashboard" sheetId="1" r:id="rId1"/>
    <sheet name="Data" sheetId="2" r:id="rId2"/>
    <sheet name="Asset_Model" sheetId="3" r:id="rId3"/>
    <sheet name="Operation" sheetId="7" r:id="rId4"/>
    <sheet name="Val Models" sheetId="4" r:id="rId5"/>
    <sheet name="Qualitative Analysis" sheetId="5" r:id="rId6"/>
  </sheets>
  <definedNames>
    <definedName name="Common_Shares">Dashboard!$I$5</definedName>
    <definedName name="Exchange_Rate">Dashboard!$I$12</definedName>
  </definedNames>
  <calcPr calcId="181029" concurrentManualCount="8"/>
  <extLs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E8" i="7" l="1"/>
  <c r="E14" i="7" s="1"/>
  <c r="E13" i="7"/>
  <c r="C30" i="4"/>
  <c r="E64" i="5" l="1"/>
  <c r="C47" i="4"/>
  <c r="C14" i="7"/>
  <c r="E11" i="7"/>
  <c r="J27" i="1" l="1"/>
  <c r="I16" i="1"/>
  <c r="C37" i="1"/>
  <c r="B18" i="1" s="1"/>
  <c r="G30" i="4"/>
  <c r="C31" i="4"/>
  <c r="C35" i="4"/>
  <c r="G27" i="4"/>
  <c r="D6" i="4"/>
  <c r="E10" i="7" l="1"/>
  <c r="G51" i="2"/>
  <c r="H51" i="2"/>
  <c r="I51" i="2"/>
  <c r="J51" i="2"/>
  <c r="K51" i="2"/>
  <c r="L51" i="2"/>
  <c r="M51" i="2"/>
  <c r="F42" i="1"/>
  <c r="E50" i="2" l="1"/>
  <c r="F50" i="2"/>
  <c r="G50" i="2"/>
  <c r="H50" i="2"/>
  <c r="I50" i="2"/>
  <c r="J50" i="2"/>
  <c r="K50" i="2"/>
  <c r="L50" i="2"/>
  <c r="M50" i="2"/>
  <c r="D50" i="2"/>
  <c r="E49" i="2"/>
  <c r="F49" i="2"/>
  <c r="G49" i="2"/>
  <c r="H49" i="2"/>
  <c r="I49" i="2"/>
  <c r="J49" i="2"/>
  <c r="K49" i="2"/>
  <c r="L49" i="2"/>
  <c r="M49" i="2"/>
  <c r="D49" i="2"/>
  <c r="C50" i="2"/>
  <c r="C49" i="2"/>
  <c r="B16" i="1"/>
  <c r="C10" i="7" l="1"/>
  <c r="I32" i="3"/>
  <c r="E11" i="3"/>
  <c r="E12" i="3"/>
  <c r="E13" i="3"/>
  <c r="E14" i="3"/>
  <c r="E15" i="3"/>
  <c r="E16" i="3"/>
  <c r="E17" i="3"/>
  <c r="E18" i="3"/>
  <c r="E19" i="3"/>
  <c r="E20" i="3"/>
  <c r="E21" i="3"/>
  <c r="E22" i="3"/>
  <c r="E29" i="3"/>
  <c r="E30" i="3"/>
  <c r="E31" i="3"/>
  <c r="E32" i="3"/>
  <c r="E33" i="3"/>
  <c r="E34" i="3"/>
  <c r="E35" i="3"/>
  <c r="E36" i="3"/>
  <c r="E37" i="3"/>
  <c r="E38" i="3"/>
  <c r="E39" i="3"/>
  <c r="E40" i="3"/>
  <c r="I46" i="3"/>
  <c r="D4" i="3"/>
  <c r="C50" i="3" s="1"/>
  <c r="I10" i="1"/>
  <c r="C8" i="7"/>
  <c r="G19" i="3"/>
  <c r="G20" i="3"/>
  <c r="G31" i="3"/>
  <c r="G33" i="3"/>
  <c r="G34" i="3"/>
  <c r="G35" i="3"/>
  <c r="D53" i="3"/>
  <c r="I53" i="3" s="1"/>
  <c r="I17" i="7"/>
  <c r="I20" i="7" s="1"/>
  <c r="F4" i="4" s="1"/>
  <c r="F28" i="4" s="1"/>
  <c r="F32" i="4" s="1"/>
  <c r="D3" i="5"/>
  <c r="D4" i="5"/>
  <c r="D12" i="5"/>
  <c r="D13" i="5"/>
  <c r="D14" i="5"/>
  <c r="D15" i="5"/>
  <c r="D16" i="5"/>
  <c r="D24" i="5"/>
  <c r="D25" i="5"/>
  <c r="D26" i="5"/>
  <c r="D27" i="5"/>
  <c r="D28" i="5"/>
  <c r="I15" i="3"/>
  <c r="C26" i="3"/>
  <c r="C42" i="3"/>
  <c r="D19" i="5"/>
  <c r="D20" i="5"/>
  <c r="D21" i="5"/>
  <c r="D22" i="5"/>
  <c r="D31" i="5"/>
  <c r="D32" i="5"/>
  <c r="D33" i="5"/>
  <c r="D34" i="5"/>
  <c r="D35" i="5"/>
  <c r="D37" i="5"/>
  <c r="D38" i="5"/>
  <c r="D39" i="5"/>
  <c r="D40" i="5"/>
  <c r="D41" i="5"/>
  <c r="D43" i="5"/>
  <c r="D44" i="5"/>
  <c r="D45" i="5"/>
  <c r="D46" i="5"/>
  <c r="D47" i="5"/>
  <c r="D48" i="5"/>
  <c r="D50" i="5"/>
  <c r="D51" i="5"/>
  <c r="D52" i="5"/>
  <c r="D53" i="5"/>
  <c r="B69" i="5"/>
  <c r="B70" i="5"/>
  <c r="B71" i="5"/>
  <c r="E71" i="5"/>
  <c r="D54" i="5" a="1"/>
  <c r="D54" i="5" s="1"/>
  <c r="D56" i="5"/>
  <c r="D57" i="5"/>
  <c r="D58" i="5"/>
  <c r="D59" i="5"/>
  <c r="D60" i="5"/>
  <c r="D61" i="5"/>
  <c r="I16" i="7"/>
  <c r="I3" i="7" s="1"/>
  <c r="F3" i="4" s="1"/>
  <c r="F27" i="4" s="1"/>
  <c r="B15" i="1"/>
  <c r="G21" i="4"/>
  <c r="F21" i="4"/>
  <c r="C12" i="1"/>
  <c r="F44" i="1"/>
  <c r="D33" i="2"/>
  <c r="D34" i="2" s="1"/>
  <c r="E6" i="1"/>
  <c r="C3" i="7" s="1"/>
  <c r="E28" i="1"/>
  <c r="E7" i="3"/>
  <c r="C23" i="4"/>
  <c r="G34" i="2"/>
  <c r="G35" i="2" s="1"/>
  <c r="G52" i="2" s="1"/>
  <c r="H34" i="2"/>
  <c r="H35" i="2" s="1"/>
  <c r="H52" i="2" s="1"/>
  <c r="I34" i="2"/>
  <c r="I35" i="2" s="1"/>
  <c r="I52" i="2" s="1"/>
  <c r="J34" i="2"/>
  <c r="J35" i="2" s="1"/>
  <c r="J52" i="2" s="1"/>
  <c r="K34" i="2"/>
  <c r="K35" i="2" s="1"/>
  <c r="K52" i="2" s="1"/>
  <c r="L34" i="2"/>
  <c r="L35" i="2" s="1"/>
  <c r="L52" i="2" s="1"/>
  <c r="M34" i="2"/>
  <c r="M35" i="2" s="1"/>
  <c r="M52" i="2" s="1"/>
  <c r="F34" i="2"/>
  <c r="F35" i="2" s="1"/>
  <c r="F52" i="2" s="1"/>
  <c r="H58" i="2"/>
  <c r="D58" i="2"/>
  <c r="E58" i="2"/>
  <c r="F58" i="2"/>
  <c r="G58" i="2"/>
  <c r="I58" i="2"/>
  <c r="J58" i="2"/>
  <c r="K58" i="2"/>
  <c r="L58" i="2"/>
  <c r="M58" i="2"/>
  <c r="C58" i="2"/>
  <c r="D20" i="2"/>
  <c r="E20" i="2"/>
  <c r="F20" i="2"/>
  <c r="G20" i="2"/>
  <c r="H20" i="2"/>
  <c r="I20" i="2"/>
  <c r="J20" i="2"/>
  <c r="K20" i="2"/>
  <c r="L20" i="2"/>
  <c r="M20" i="2"/>
  <c r="C20" i="2"/>
  <c r="G16" i="3"/>
  <c r="I10" i="7"/>
  <c r="I12" i="7"/>
  <c r="C6" i="2"/>
  <c r="D6" i="2"/>
  <c r="E6" i="2" s="1"/>
  <c r="F6" i="2" s="1"/>
  <c r="G6" i="2" s="1"/>
  <c r="H6" i="2" s="1"/>
  <c r="I6" i="2" s="1"/>
  <c r="J6" i="2" s="1"/>
  <c r="K6" i="2" s="1"/>
  <c r="L6" i="2" s="1"/>
  <c r="M6" i="2" s="1"/>
  <c r="C27" i="2"/>
  <c r="C43" i="2" s="1"/>
  <c r="D27" i="2"/>
  <c r="D43" i="2" s="1"/>
  <c r="E27" i="2"/>
  <c r="E43" i="2" s="1"/>
  <c r="F27" i="2"/>
  <c r="F43" i="2" s="1"/>
  <c r="I15" i="7"/>
  <c r="I4" i="3"/>
  <c r="D6" i="1"/>
  <c r="B3" i="4"/>
  <c r="C59" i="3"/>
  <c r="E46" i="2"/>
  <c r="F46" i="2"/>
  <c r="G46" i="2"/>
  <c r="H46" i="2"/>
  <c r="I46" i="2"/>
  <c r="J46" i="2"/>
  <c r="K46" i="2"/>
  <c r="L46" i="2"/>
  <c r="M46" i="2"/>
  <c r="D46" i="2"/>
  <c r="E42" i="2"/>
  <c r="F42" i="2"/>
  <c r="G42" i="2"/>
  <c r="H42" i="2"/>
  <c r="I42" i="2"/>
  <c r="J42" i="2"/>
  <c r="K42" i="2"/>
  <c r="L42" i="2"/>
  <c r="M42" i="2"/>
  <c r="G43" i="2"/>
  <c r="H43" i="2"/>
  <c r="I43" i="2"/>
  <c r="J43" i="2"/>
  <c r="K43" i="2"/>
  <c r="L43" i="2"/>
  <c r="M43" i="2"/>
  <c r="D42" i="2"/>
  <c r="D44" i="4"/>
  <c r="C58" i="3"/>
  <c r="D39" i="2"/>
  <c r="E39" i="2"/>
  <c r="F39" i="2"/>
  <c r="G39" i="2"/>
  <c r="H39" i="2"/>
  <c r="I39" i="2"/>
  <c r="J39" i="2"/>
  <c r="K39" i="2"/>
  <c r="L39" i="2"/>
  <c r="M39" i="2"/>
  <c r="D40" i="2"/>
  <c r="E40" i="2"/>
  <c r="F40" i="2"/>
  <c r="G40" i="2"/>
  <c r="H40" i="2"/>
  <c r="I40" i="2"/>
  <c r="J40" i="2"/>
  <c r="K40" i="2"/>
  <c r="L40" i="2"/>
  <c r="M40" i="2"/>
  <c r="C40" i="2"/>
  <c r="D7" i="1" s="1"/>
  <c r="C39" i="2"/>
  <c r="C7" i="1" s="1"/>
  <c r="C24" i="3"/>
  <c r="I8" i="3" s="1"/>
  <c r="C25" i="3"/>
  <c r="I7" i="3" s="1"/>
  <c r="I19" i="7"/>
  <c r="C14" i="2"/>
  <c r="C16" i="2" s="1"/>
  <c r="G27" i="2"/>
  <c r="H27" i="2"/>
  <c r="I27" i="2"/>
  <c r="J27" i="2"/>
  <c r="K27" i="2"/>
  <c r="L27" i="2"/>
  <c r="M27" i="2"/>
  <c r="C42" i="2"/>
  <c r="J12" i="1"/>
  <c r="E5" i="1"/>
  <c r="E4" i="2"/>
  <c r="G32" i="2"/>
  <c r="H32" i="2"/>
  <c r="I32" i="2"/>
  <c r="J32" i="2"/>
  <c r="K32" i="2"/>
  <c r="L32" i="2"/>
  <c r="M32" i="2"/>
  <c r="M33" i="2"/>
  <c r="L33" i="2"/>
  <c r="K33" i="2"/>
  <c r="J33" i="2"/>
  <c r="I33" i="2"/>
  <c r="H33" i="2"/>
  <c r="G33" i="2"/>
  <c r="F33" i="2"/>
  <c r="C8" i="2"/>
  <c r="C9" i="7" s="1"/>
  <c r="C10" i="2"/>
  <c r="M15" i="2"/>
  <c r="C32" i="2"/>
  <c r="D32" i="2"/>
  <c r="E32" i="2"/>
  <c r="F32" i="2"/>
  <c r="E77" i="5"/>
  <c r="B77" i="5"/>
  <c r="E76" i="5"/>
  <c r="B76" i="5"/>
  <c r="E75" i="5"/>
  <c r="B75" i="5"/>
  <c r="E74" i="5"/>
  <c r="B74" i="5"/>
  <c r="E73" i="5"/>
  <c r="B73" i="5"/>
  <c r="E72" i="5"/>
  <c r="B72" i="5"/>
  <c r="E70" i="5"/>
  <c r="E69" i="5"/>
  <c r="E68" i="5"/>
  <c r="M17" i="2"/>
  <c r="M14" i="2"/>
  <c r="L15" i="2" s="1"/>
  <c r="K14" i="2"/>
  <c r="K44" i="2" s="1"/>
  <c r="M12" i="2"/>
  <c r="M10" i="2"/>
  <c r="L10" i="2"/>
  <c r="K10" i="2"/>
  <c r="H10" i="2"/>
  <c r="G10" i="2"/>
  <c r="D10" i="2"/>
  <c r="L14" i="2"/>
  <c r="L44" i="2" s="1"/>
  <c r="J14" i="2"/>
  <c r="J13" i="2" s="1"/>
  <c r="J48" i="2" s="1"/>
  <c r="I10" i="2"/>
  <c r="H14" i="2"/>
  <c r="H16" i="2" s="1"/>
  <c r="H45" i="2" s="1"/>
  <c r="G14" i="2"/>
  <c r="G44" i="2" s="1"/>
  <c r="F14" i="2"/>
  <c r="E10" i="2"/>
  <c r="L8" i="2"/>
  <c r="K8" i="2"/>
  <c r="J8" i="2"/>
  <c r="I8" i="2"/>
  <c r="H8" i="2"/>
  <c r="G8" i="2"/>
  <c r="F8" i="2"/>
  <c r="E8" i="2"/>
  <c r="D8" i="2"/>
  <c r="F3" i="2" a="1"/>
  <c r="F3" i="2" s="1"/>
  <c r="I9" i="1" s="1"/>
  <c r="J9" i="1" s="1"/>
  <c r="G33" i="1"/>
  <c r="G29" i="1" s="1"/>
  <c r="E33" i="1"/>
  <c r="E29" i="1" s="1"/>
  <c r="C33" i="1"/>
  <c r="C29" i="1" s="1"/>
  <c r="G32" i="1"/>
  <c r="E32" i="1"/>
  <c r="C32" i="1"/>
  <c r="I30" i="1"/>
  <c r="I6" i="1"/>
  <c r="C2" i="1"/>
  <c r="D63" i="3"/>
  <c r="E33" i="2"/>
  <c r="E34" i="2" s="1"/>
  <c r="G16" i="2"/>
  <c r="G45" i="2" s="1"/>
  <c r="C46" i="2"/>
  <c r="G12" i="2"/>
  <c r="D14" i="2"/>
  <c r="D16" i="2" s="1"/>
  <c r="H12" i="2"/>
  <c r="L12" i="2"/>
  <c r="F10" i="2"/>
  <c r="J10" i="2"/>
  <c r="J12" i="2"/>
  <c r="E14" i="2"/>
  <c r="E13" i="2" s="1"/>
  <c r="E48" i="2" s="1"/>
  <c r="E51" i="2" s="1"/>
  <c r="I14" i="2"/>
  <c r="I16" i="2" s="1"/>
  <c r="I45" i="2" s="1"/>
  <c r="K12" i="2"/>
  <c r="C33" i="2"/>
  <c r="C34" i="2" s="1"/>
  <c r="C22" i="4"/>
  <c r="H17" i="2"/>
  <c r="K17" i="2"/>
  <c r="J17" i="2"/>
  <c r="G17" i="2"/>
  <c r="I12" i="2"/>
  <c r="L17" i="2"/>
  <c r="I17" i="2"/>
  <c r="C13" i="7" l="1"/>
  <c r="D7" i="7"/>
  <c r="D4" i="7"/>
  <c r="D6" i="7"/>
  <c r="D5" i="7"/>
  <c r="F33" i="4"/>
  <c r="F34" i="4" s="1"/>
  <c r="F37" i="4" s="1"/>
  <c r="F39" i="4" s="1"/>
  <c r="D47" i="4"/>
  <c r="D49" i="4" s="1"/>
  <c r="C14" i="4"/>
  <c r="B27" i="4"/>
  <c r="D36" i="5"/>
  <c r="E36" i="5" s="1"/>
  <c r="D6" i="5"/>
  <c r="E6" i="5" s="1"/>
  <c r="G13" i="2"/>
  <c r="G48" i="2" s="1"/>
  <c r="G15" i="2"/>
  <c r="H15" i="2"/>
  <c r="I15" i="2"/>
  <c r="J16" i="2"/>
  <c r="J45" i="2" s="1"/>
  <c r="K16" i="2"/>
  <c r="K45" i="2" s="1"/>
  <c r="J44" i="2"/>
  <c r="J15" i="2"/>
  <c r="L13" i="2"/>
  <c r="L48" i="2" s="1"/>
  <c r="L16" i="2"/>
  <c r="L45" i="2" s="1"/>
  <c r="K13" i="2"/>
  <c r="K48" i="2" s="1"/>
  <c r="K15" i="2"/>
  <c r="M16" i="2"/>
  <c r="M45" i="2" s="1"/>
  <c r="M44" i="2"/>
  <c r="H13" i="2"/>
  <c r="H48" i="2" s="1"/>
  <c r="F15" i="2"/>
  <c r="M13" i="2"/>
  <c r="M48" i="2" s="1"/>
  <c r="I44" i="2"/>
  <c r="H44" i="2"/>
  <c r="I13" i="2"/>
  <c r="I48" i="2" s="1"/>
  <c r="D55" i="5"/>
  <c r="E55" i="5" s="1"/>
  <c r="D49" i="5"/>
  <c r="E49" i="5" s="1"/>
  <c r="D42" i="5"/>
  <c r="E42" i="5" s="1"/>
  <c r="D30" i="5"/>
  <c r="E30" i="5" s="1"/>
  <c r="D5" i="5"/>
  <c r="E5" i="5" s="1"/>
  <c r="D10" i="4"/>
  <c r="D35" i="4" s="1"/>
  <c r="D36" i="4" s="1"/>
  <c r="G36" i="4" s="1"/>
  <c r="G10" i="4"/>
  <c r="G35" i="4" s="1"/>
  <c r="I18" i="7"/>
  <c r="F31" i="4" s="1"/>
  <c r="C12" i="7"/>
  <c r="C17" i="7" s="1"/>
  <c r="C15" i="7" s="1"/>
  <c r="D52" i="3"/>
  <c r="C17" i="4" s="1"/>
  <c r="C46" i="3"/>
  <c r="E26" i="3"/>
  <c r="D26" i="3" s="1"/>
  <c r="E59" i="3"/>
  <c r="C15" i="4" s="1"/>
  <c r="D15" i="4" s="1"/>
  <c r="F44" i="2"/>
  <c r="E12" i="2"/>
  <c r="C13" i="2"/>
  <c r="C11" i="7"/>
  <c r="F8" i="4"/>
  <c r="F9" i="4" s="1"/>
  <c r="F12" i="4" s="1"/>
  <c r="F10" i="4"/>
  <c r="F35" i="4" s="1"/>
  <c r="F36" i="4" s="1"/>
  <c r="F5" i="4"/>
  <c r="F11" i="4"/>
  <c r="F38" i="4" s="1"/>
  <c r="E24" i="3"/>
  <c r="I24" i="3" s="1"/>
  <c r="J24" i="3" s="1"/>
  <c r="E42" i="3"/>
  <c r="D42" i="3" s="1"/>
  <c r="E58" i="3"/>
  <c r="D58" i="3" s="1"/>
  <c r="C44" i="3"/>
  <c r="C45" i="3" s="1"/>
  <c r="I6" i="3"/>
  <c r="E34" i="1"/>
  <c r="I33" i="1"/>
  <c r="I34" i="1" s="1"/>
  <c r="I35" i="1" s="1"/>
  <c r="E50" i="3"/>
  <c r="I29" i="1"/>
  <c r="E3" i="3"/>
  <c r="E15" i="2"/>
  <c r="F13" i="2"/>
  <c r="F16" i="2"/>
  <c r="E16" i="2"/>
  <c r="E35" i="2" s="1"/>
  <c r="E52" i="2" s="1"/>
  <c r="E44" i="2"/>
  <c r="D17" i="2"/>
  <c r="D45" i="2"/>
  <c r="D15" i="2"/>
  <c r="D44" i="2"/>
  <c r="D13" i="2"/>
  <c r="D35" i="2"/>
  <c r="C45" i="2"/>
  <c r="C17" i="2"/>
  <c r="F4" i="2"/>
  <c r="C35" i="2"/>
  <c r="C15" i="2"/>
  <c r="C16" i="7" s="1"/>
  <c r="C44" i="2"/>
  <c r="E3" i="7"/>
  <c r="C3" i="4"/>
  <c r="C27" i="4" s="1"/>
  <c r="J18" i="1"/>
  <c r="J16" i="1"/>
  <c r="F47" i="4"/>
  <c r="C20" i="4"/>
  <c r="B3" i="7"/>
  <c r="C11" i="1"/>
  <c r="D17" i="4" l="1"/>
  <c r="C32" i="4"/>
  <c r="D48" i="4"/>
  <c r="E12" i="7"/>
  <c r="E17" i="7" s="1"/>
  <c r="D59" i="3"/>
  <c r="E44" i="3"/>
  <c r="I44" i="3" s="1"/>
  <c r="J44" i="3" s="1"/>
  <c r="D12" i="2"/>
  <c r="D48" i="2"/>
  <c r="D51" i="2" s="1"/>
  <c r="D52" i="2" s="1"/>
  <c r="C12" i="2"/>
  <c r="C48" i="2"/>
  <c r="C51" i="2" s="1"/>
  <c r="C52" i="2" s="1"/>
  <c r="F12" i="2"/>
  <c r="F48" i="2"/>
  <c r="F51" i="2" s="1"/>
  <c r="E46" i="3"/>
  <c r="D46" i="3" s="1"/>
  <c r="C16" i="4"/>
  <c r="D16" i="4" s="1"/>
  <c r="D62" i="5"/>
  <c r="E62" i="5" s="1"/>
  <c r="D60" i="3"/>
  <c r="E35" i="1"/>
  <c r="C38" i="1"/>
  <c r="D3" i="4"/>
  <c r="D27" i="4" s="1"/>
  <c r="E9" i="7"/>
  <c r="C20" i="7"/>
  <c r="C4" i="4" s="1"/>
  <c r="C18" i="4"/>
  <c r="D18" i="4" s="1"/>
  <c r="D50" i="3"/>
  <c r="E25" i="3"/>
  <c r="D24" i="3"/>
  <c r="D44" i="3"/>
  <c r="D49" i="3"/>
  <c r="F17" i="2"/>
  <c r="F45" i="2"/>
  <c r="E45" i="2"/>
  <c r="E17" i="2"/>
  <c r="E45" i="3" l="1"/>
  <c r="D6" i="3"/>
  <c r="D7" i="3" s="1"/>
  <c r="C7" i="4"/>
  <c r="C28" i="4"/>
  <c r="C33" i="4" s="1"/>
  <c r="C34" i="4" s="1"/>
  <c r="G18" i="4"/>
  <c r="G15" i="4"/>
  <c r="E15" i="7"/>
  <c r="E18" i="7"/>
  <c r="E16" i="7"/>
  <c r="C19" i="7"/>
  <c r="C8" i="4"/>
  <c r="C9" i="4" s="1"/>
  <c r="J10" i="1"/>
  <c r="I25" i="3"/>
  <c r="J25" i="3" s="1"/>
  <c r="D25" i="3"/>
  <c r="D45" i="3"/>
  <c r="I45" i="3"/>
  <c r="J45" i="3" s="1"/>
  <c r="D31" i="4" l="1"/>
  <c r="D32" i="4" s="1"/>
  <c r="G32" i="4"/>
  <c r="E20" i="7"/>
  <c r="E19" i="7" s="1"/>
  <c r="J26" i="3"/>
  <c r="D18" i="5" s="1"/>
  <c r="C37" i="4" s="1"/>
  <c r="D4" i="4" l="1"/>
  <c r="E18" i="5"/>
  <c r="D64" i="5"/>
  <c r="E7" i="5" s="1"/>
  <c r="D7" i="5" s="1"/>
  <c r="D8" i="5" s="1"/>
  <c r="E8" i="5" s="1"/>
  <c r="F43" i="1"/>
  <c r="G40" i="4" l="1"/>
  <c r="D28" i="4"/>
  <c r="G16" i="4"/>
  <c r="E47" i="4" s="1"/>
  <c r="D5" i="4"/>
  <c r="F18" i="4"/>
  <c r="D7" i="4"/>
  <c r="D8" i="4" s="1"/>
  <c r="D9" i="4" s="1"/>
  <c r="D11" i="4"/>
  <c r="D38" i="4" s="1"/>
  <c r="G38" i="4" s="1"/>
  <c r="F41" i="1"/>
  <c r="D33" i="4" l="1"/>
  <c r="D34" i="4" s="1"/>
  <c r="D37" i="4" s="1"/>
  <c r="D39" i="4" s="1"/>
  <c r="G28" i="4"/>
  <c r="E6" i="3"/>
  <c r="F16" i="1"/>
  <c r="H16" i="1" s="1"/>
  <c r="E17" i="4"/>
  <c r="D12" i="4"/>
  <c r="H18" i="1" l="1"/>
  <c r="G10" i="7"/>
  <c r="G3" i="7"/>
  <c r="E3" i="4" s="1"/>
  <c r="G4" i="4" l="1"/>
  <c r="B21" i="4" s="1"/>
  <c r="G2" i="4" s="1"/>
  <c r="G26" i="4" s="1"/>
  <c r="E27" i="4"/>
  <c r="G12" i="7"/>
  <c r="G17" i="7" s="1"/>
  <c r="G18" i="7" l="1"/>
  <c r="E31" i="4" s="1"/>
  <c r="G31" i="4" s="1"/>
  <c r="G16" i="7"/>
  <c r="G15" i="7"/>
  <c r="G20" i="7" l="1"/>
  <c r="E4" i="4" l="1"/>
  <c r="E28" i="4" s="1"/>
  <c r="E32" i="4" s="1"/>
  <c r="G19" i="7"/>
  <c r="G33" i="4" l="1"/>
  <c r="G34" i="4" s="1"/>
  <c r="G37" i="4" s="1"/>
  <c r="E33" i="4"/>
  <c r="E34" i="4" s="1"/>
  <c r="E8" i="4"/>
  <c r="E5" i="4"/>
  <c r="E10" i="4"/>
  <c r="E35" i="4" s="1"/>
  <c r="E11" i="4" l="1"/>
  <c r="E38" i="4" s="1"/>
  <c r="E9" i="4"/>
  <c r="G9" i="4"/>
  <c r="G11" i="4" l="1"/>
  <c r="E23" i="4" s="1"/>
  <c r="E12" i="4"/>
  <c r="F23" i="4" l="1"/>
  <c r="G23" i="4" s="1"/>
  <c r="E22" i="4"/>
  <c r="F22" i="4" s="1"/>
  <c r="G22" i="4" l="1"/>
  <c r="G24" i="4" s="1"/>
  <c r="E36" i="4"/>
  <c r="E37" i="4" s="1"/>
  <c r="E39" i="4" l="1"/>
  <c r="G39" i="4" l="1"/>
  <c r="G41" i="4" s="1"/>
  <c r="C44" i="4" l="1"/>
  <c r="C49" i="4" s="1"/>
  <c r="F48" i="1" l="1"/>
  <c r="C48" i="4"/>
  <c r="E44" i="4"/>
  <c r="F44" i="4"/>
  <c r="E14" i="1"/>
  <c r="F49" i="4"/>
  <c r="I38" i="1"/>
  <c r="E49" i="4"/>
  <c r="F48" i="4" l="1"/>
  <c r="I37" i="1"/>
  <c r="B17" i="1" s="1"/>
  <c r="E48" i="4"/>
  <c r="E48" i="1"/>
  <c r="D18" i="1" l="1"/>
  <c r="E37" i="1"/>
  <c r="F47" i="1"/>
  <c r="E47" i="1"/>
  <c r="E52" i="1" s="1"/>
  <c r="D16" i="1"/>
  <c r="F52" i="1" l="1"/>
  <c r="E51" i="1"/>
  <c r="E50" i="1" s="1"/>
  <c r="H17" i="1"/>
  <c r="F51" i="1"/>
  <c r="F50" i="1" s="1"/>
  <c r="D17" i="1"/>
  <c r="J17" i="1"/>
  <c r="F53" i="1" l="1"/>
  <c r="E53" i="1"/>
</calcChain>
</file>

<file path=xl/sharedStrings.xml><?xml version="1.0" encoding="utf-8"?>
<sst xmlns="http://schemas.openxmlformats.org/spreadsheetml/2006/main" count="449" uniqueCount="381">
  <si>
    <t>Company Info:</t>
  </si>
  <si>
    <t>Ticker:</t>
  </si>
  <si>
    <t>Listing Location:</t>
  </si>
  <si>
    <t>HKG</t>
  </si>
  <si>
    <t>Ticker Name:</t>
  </si>
  <si>
    <t>Current Price:</t>
  </si>
  <si>
    <t>HKD</t>
  </si>
  <si>
    <t>Valuation Date:</t>
  </si>
  <si>
    <t>Number of Shares:</t>
  </si>
  <si>
    <t>Capitalization:</t>
  </si>
  <si>
    <t>LFY Dividend and Buyback</t>
  </si>
  <si>
    <t>Current Price Metrics</t>
  </si>
  <si>
    <t>Discount Rate Assumptions</t>
  </si>
  <si>
    <t>P/E Ratio &amp; Earnings Yield:</t>
  </si>
  <si>
    <t>P/B &amp; EV/EBIT Ratios:</t>
  </si>
  <si>
    <t>Reporting Currency:</t>
  </si>
  <si>
    <t>Exchange Rate:</t>
  </si>
  <si>
    <t>Valuation Output:</t>
  </si>
  <si>
    <t>PB</t>
  </si>
  <si>
    <t>Excess Return</t>
  </si>
  <si>
    <t>Dividend Yield:</t>
  </si>
  <si>
    <t>Op. Assets</t>
  </si>
  <si>
    <t>Non-op. Assets</t>
  </si>
  <si>
    <t>=</t>
  </si>
  <si>
    <t>+</t>
  </si>
  <si>
    <t>Stock Analysis:</t>
  </si>
  <si>
    <t>1 sentence Pitch</t>
  </si>
  <si>
    <t>Strength &amp; Weakness</t>
  </si>
  <si>
    <t>Oppertunities &amp; Threat</t>
  </si>
  <si>
    <t>Execution Plan:</t>
  </si>
  <si>
    <t>Portfolio Size</t>
  </si>
  <si>
    <t>Date of Trade</t>
  </si>
  <si>
    <t>Total</t>
  </si>
  <si>
    <t>Aollcation</t>
  </si>
  <si>
    <t>Number of shares</t>
  </si>
  <si>
    <t>price per shares</t>
  </si>
  <si>
    <t>Corresponding Market Cap.</t>
  </si>
  <si>
    <t>Total Cost</t>
  </si>
  <si>
    <t>Cost per share</t>
  </si>
  <si>
    <t>Corresponding Cap</t>
  </si>
  <si>
    <t>Company Statement Inputs</t>
  </si>
  <si>
    <t>Year of the last 10k =</t>
  </si>
  <si>
    <t>Unit =</t>
  </si>
  <si>
    <t>Sales</t>
  </si>
  <si>
    <t>Sales Growth Rate</t>
  </si>
  <si>
    <t>COGS</t>
  </si>
  <si>
    <t>Gross Margin</t>
  </si>
  <si>
    <t>Operating Expenses</t>
  </si>
  <si>
    <t>Operating Expenses/Sales</t>
  </si>
  <si>
    <t>EBIT Margin</t>
  </si>
  <si>
    <t>EBIT</t>
  </si>
  <si>
    <t>EBIT Growth</t>
  </si>
  <si>
    <t>Estimated NOPAT</t>
  </si>
  <si>
    <t>NOPAT Margin</t>
  </si>
  <si>
    <t>owner's NI</t>
  </si>
  <si>
    <t>Current Asset</t>
  </si>
  <si>
    <t>Current Liabilities</t>
  </si>
  <si>
    <t>ST Interest-bearing Debt</t>
  </si>
  <si>
    <t xml:space="preserve">ST Capital Lease </t>
  </si>
  <si>
    <t>LT Interest-bearing Debt</t>
  </si>
  <si>
    <t xml:space="preserve">LT Capital Lease </t>
  </si>
  <si>
    <t>Interest-bearing Debt</t>
  </si>
  <si>
    <t>Total Equity</t>
  </si>
  <si>
    <t>Net PP&amp;E</t>
  </si>
  <si>
    <t>Δ PP&amp;E/PP&amp;E</t>
  </si>
  <si>
    <t>Estimated WCInv</t>
  </si>
  <si>
    <t>Reinvestment/NOPAT</t>
  </si>
  <si>
    <t>Dividend and Buyback</t>
  </si>
  <si>
    <t>Share Repurchase</t>
  </si>
  <si>
    <t>Financial Leverage</t>
  </si>
  <si>
    <t>Long-term Debt / Equity</t>
  </si>
  <si>
    <t>EBIT / Total Debt</t>
  </si>
  <si>
    <t>Interes Expense / EBIT</t>
  </si>
  <si>
    <t>Current Ratio</t>
  </si>
  <si>
    <t>Data Adjustments</t>
  </si>
  <si>
    <t>Capitalize R&amp;D expenses?</t>
  </si>
  <si>
    <t>No</t>
  </si>
  <si>
    <t>Reinvestment</t>
  </si>
  <si>
    <t>NOPAT</t>
  </si>
  <si>
    <t>Output</t>
  </si>
  <si>
    <t>NAVPS =</t>
  </si>
  <si>
    <t>Discount</t>
  </si>
  <si>
    <t>Assets</t>
  </si>
  <si>
    <t>Book Figure</t>
  </si>
  <si>
    <t>Valued @</t>
  </si>
  <si>
    <t>Ajusted Valuation</t>
  </si>
  <si>
    <t>Liabilities</t>
  </si>
  <si>
    <t>Cash and cash equivalents</t>
  </si>
  <si>
    <t>ST Borrowing</t>
  </si>
  <si>
    <t>Restricted cash or deposit</t>
  </si>
  <si>
    <t>ST Lease liabilities</t>
  </si>
  <si>
    <t>Customer prepay. &amp; deposits</t>
  </si>
  <si>
    <t>ST SH Loan</t>
  </si>
  <si>
    <t>ST FV Investments</t>
  </si>
  <si>
    <t>ST Derivatives</t>
  </si>
  <si>
    <t>ST non-FV Investments</t>
  </si>
  <si>
    <t>Other ST liabilities</t>
  </si>
  <si>
    <t>ST AR</t>
  </si>
  <si>
    <t>Inventory</t>
  </si>
  <si>
    <t>Properties held for sale</t>
  </si>
  <si>
    <t>Properties under development</t>
  </si>
  <si>
    <t>ST DTA</t>
  </si>
  <si>
    <t>Other ST Assets</t>
  </si>
  <si>
    <t>ST-core Monetary Asset</t>
  </si>
  <si>
    <t>ST Monetary Asset (B11-B17)</t>
  </si>
  <si>
    <t>Current Assets</t>
  </si>
  <si>
    <t>LT Depositis</t>
  </si>
  <si>
    <t>LT Borrowing</t>
  </si>
  <si>
    <t>LT FV Securities</t>
  </si>
  <si>
    <t>LT Lease liabilities</t>
  </si>
  <si>
    <t>LT non-FV Securities</t>
  </si>
  <si>
    <t>LT Derivatives</t>
  </si>
  <si>
    <t>LT SH Loan</t>
  </si>
  <si>
    <t>LT AR</t>
  </si>
  <si>
    <t>Other LT liabilities</t>
  </si>
  <si>
    <t>Investments in JV or associate</t>
  </si>
  <si>
    <t>Investment property</t>
  </si>
  <si>
    <t>Intangible assets</t>
  </si>
  <si>
    <t>LT DTA</t>
  </si>
  <si>
    <t>Other assets &amp; Goodwill</t>
  </si>
  <si>
    <t>Noncurrent Assets</t>
  </si>
  <si>
    <t>Noncurrent Liabilities</t>
  </si>
  <si>
    <t xml:space="preserve">Total Core Monetary Asset = </t>
  </si>
  <si>
    <t xml:space="preserve">Total Monetary Asset = </t>
  </si>
  <si>
    <t>Total Assets =</t>
  </si>
  <si>
    <t>Balance Sheet items Adjustments</t>
  </si>
  <si>
    <t>+ Preference Shares</t>
  </si>
  <si>
    <t>+ MV of the Options</t>
  </si>
  <si>
    <t>// If avg exercise price &gt; current price, then assume 0</t>
  </si>
  <si>
    <t>// Use BV Debt by default</t>
  </si>
  <si>
    <t>3. Non-operating Assets, STI &amp; Cash</t>
  </si>
  <si>
    <t>Market EV</t>
  </si>
  <si>
    <t>Note</t>
  </si>
  <si>
    <t>Revenue Growth</t>
  </si>
  <si>
    <t>Total Revenue =</t>
  </si>
  <si>
    <t>COGS =</t>
  </si>
  <si>
    <t xml:space="preserve">Gross profit = </t>
  </si>
  <si>
    <t>Operating Expenses =</t>
  </si>
  <si>
    <t>EBIT growth rate</t>
  </si>
  <si>
    <t>Tax rate</t>
  </si>
  <si>
    <t>FCFF</t>
  </si>
  <si>
    <t>Discount Rate</t>
  </si>
  <si>
    <t>Cumulated Discount factor</t>
  </si>
  <si>
    <t>E(Value per share)</t>
  </si>
  <si>
    <t>Margin of Safety Analysis</t>
  </si>
  <si>
    <t>unclear</t>
  </si>
  <si>
    <t>agree</t>
  </si>
  <si>
    <r>
      <t xml:space="preserve">⇒ </t>
    </r>
    <r>
      <rPr>
        <b/>
        <i/>
        <u/>
        <sz val="11"/>
        <color rgb="FF000000"/>
        <rFont val="Times New Roman"/>
        <family val="1"/>
      </rPr>
      <t>Valuation quality rating</t>
    </r>
  </si>
  <si>
    <t>Business Quality Assessment</t>
  </si>
  <si>
    <t>PART I: Business Tenets:</t>
  </si>
  <si>
    <t>2. Does the company have sustainable competitive advantages?</t>
  </si>
  <si>
    <t>3. Does the company have lots of reinvestment opportunities within their moats?</t>
  </si>
  <si>
    <t>4. Does the company have low amount of operating leverage?</t>
  </si>
  <si>
    <t>disagree</t>
  </si>
  <si>
    <t>5. Does the company have a good opeartional risk management history?</t>
  </si>
  <si>
    <t>Strongly agree</t>
  </si>
  <si>
    <t>PART II: Financial Tenets:</t>
  </si>
  <si>
    <t>2. Are the profit margins attractive (better than industry)?</t>
  </si>
  <si>
    <t xml:space="preserve">3. Can current operations be maintained without too much need to spend? </t>
  </si>
  <si>
    <t>4. Can cash be reinvested at attractive compound rates?</t>
  </si>
  <si>
    <t>5. Does the company have low working capital requirements and fast cash conversion cycle?</t>
  </si>
  <si>
    <t>PART III:  Management Tenets:</t>
  </si>
  <si>
    <t>1. Is the company operated by the owner operator?</t>
  </si>
  <si>
    <t>2. Can the management make clear and smart decisions?</t>
  </si>
  <si>
    <t>5. Are managers' interest positively aligned to benefit all stakeholders?</t>
  </si>
  <si>
    <t>PART IV: Market Tenets (Porter's Five forces):</t>
  </si>
  <si>
    <t>I. Threat of New Entrants =</t>
  </si>
  <si>
    <t>1. There is no cost advantage associated with the supply-side economics of scale.</t>
  </si>
  <si>
    <t>Strongly disagree</t>
  </si>
  <si>
    <t>II. Power of Suppliers =</t>
  </si>
  <si>
    <t>1. The supplier is more concentrated than the industry it sells to.</t>
  </si>
  <si>
    <t>III. Power of Buyers =</t>
  </si>
  <si>
    <t>1. There are few buyers, or some buyers who purchase in relatively large volumes.</t>
  </si>
  <si>
    <t>2. The products are standardized or undifferentiated.</t>
  </si>
  <si>
    <t>3. The buyers face low switching costs in changing vendors.</t>
  </si>
  <si>
    <t>4. The buyers can credibly threaten to integrate backward.</t>
  </si>
  <si>
    <t>5. The product the buyers purchase are relatively expensive.</t>
  </si>
  <si>
    <t>IV. Threat of Substitutions =</t>
  </si>
  <si>
    <t>1. There is an unfavorable gap in the price or performance when compared.</t>
  </si>
  <si>
    <t>2. The buyer's cost of switching to the substitute is low.</t>
  </si>
  <si>
    <t>V. Rivalry among existing Competitors =</t>
  </si>
  <si>
    <t>1. There are numerous competitors or are roughly equal in size and power.</t>
  </si>
  <si>
    <t>2. Industry growth is slow.</t>
  </si>
  <si>
    <r>
      <rPr>
        <sz val="11"/>
        <color rgb="FF000000"/>
        <rFont val="Times New Roman"/>
        <family val="1"/>
      </rPr>
      <t xml:space="preserve">Conclusion: the </t>
    </r>
    <r>
      <rPr>
        <u/>
        <sz val="11"/>
        <color rgb="FF000000"/>
        <rFont val="Times New Roman"/>
        <family val="1"/>
      </rPr>
      <t>Industry Competition level</t>
    </r>
    <r>
      <rPr>
        <sz val="11"/>
        <color rgb="FF000000"/>
        <rFont val="Times New Roman"/>
        <family val="1"/>
      </rPr>
      <t xml:space="preserve"> is</t>
    </r>
  </si>
  <si>
    <r>
      <t xml:space="preserve">⇒ </t>
    </r>
    <r>
      <rPr>
        <b/>
        <i/>
        <u/>
        <sz val="11"/>
        <color rgb="FF000000"/>
        <rFont val="Times New Roman"/>
        <family val="1"/>
      </rPr>
      <t>Business quality rating</t>
    </r>
  </si>
  <si>
    <t>// Reserved for Logic</t>
  </si>
  <si>
    <t>Average Asset Life by Sector, 2013</t>
  </si>
  <si>
    <t>No Barrier Company, 1y</t>
  </si>
  <si>
    <t>Information Technology Like</t>
  </si>
  <si>
    <t>Healthcare</t>
  </si>
  <si>
    <t>Consumer Discretionary</t>
  </si>
  <si>
    <t>Consumer Staples</t>
  </si>
  <si>
    <t>Industrials</t>
  </si>
  <si>
    <t>Telecommunication Services</t>
  </si>
  <si>
    <t>Energy</t>
  </si>
  <si>
    <t>Materials</t>
  </si>
  <si>
    <t>Utilities</t>
  </si>
  <si>
    <t>Dividend per share</t>
  </si>
  <si>
    <t>Repurchase per share</t>
  </si>
  <si>
    <t>Noncommon Interest</t>
  </si>
  <si>
    <t>1. MV of Noncommon Interest</t>
  </si>
  <si>
    <t>Common Equity</t>
  </si>
  <si>
    <t>6. The buyers are little affacted by the industry's product.</t>
  </si>
  <si>
    <t>3. Products or services of rivals are nearly identical with few buyer switching costs.</t>
  </si>
  <si>
    <t>4. Fixed costs are high and marginal costs are low.</t>
  </si>
  <si>
    <t>5. Capacity must be expanded in large increments to be efficient.</t>
  </si>
  <si>
    <t>6. The product is perishable (The opposite is product that gets better with age).</t>
  </si>
  <si>
    <t>FCFF per share</t>
  </si>
  <si>
    <t>P/FCFF</t>
  </si>
  <si>
    <t>LFY P/FCFF</t>
  </si>
  <si>
    <t>Net Non-op. Asset Analysis</t>
  </si>
  <si>
    <t>Output:</t>
  </si>
  <si>
    <t>- Total outstanding debt</t>
  </si>
  <si>
    <t xml:space="preserve">Non-common Interest = </t>
  </si>
  <si>
    <t>FCFF/P Yield</t>
  </si>
  <si>
    <t>TV per share</t>
  </si>
  <si>
    <t>Present Value</t>
  </si>
  <si>
    <t>Ending Cash Position</t>
  </si>
  <si>
    <t>+ Interest Bearing Debt</t>
  </si>
  <si>
    <t>Non-operating Assets</t>
  </si>
  <si>
    <t>= Non-op Asset less Debt and Minority interest</t>
  </si>
  <si>
    <t>- MV of Non-current Interest</t>
  </si>
  <si>
    <t>+ Cash and cash equivalents</t>
  </si>
  <si>
    <t>is_OP</t>
  </si>
  <si>
    <t>Y</t>
  </si>
  <si>
    <t>N</t>
  </si>
  <si>
    <t>+ Non-Op. &amp; Non-cash Asset</t>
  </si>
  <si>
    <t>Cash + cash equivalents</t>
  </si>
  <si>
    <t>EBIT =</t>
  </si>
  <si>
    <t>Operating Income Projections</t>
  </si>
  <si>
    <t>%</t>
  </si>
  <si>
    <t>https://pages.stern.nyu.edu/~adamodar/New_Home_Page/datafile/wcdata.html</t>
  </si>
  <si>
    <t>Debt / Equity</t>
  </si>
  <si>
    <t>Type:</t>
  </si>
  <si>
    <t>Most Recent Quarter Inputs</t>
  </si>
  <si>
    <t>Next Review Date:</t>
  </si>
  <si>
    <t>Interest Expense</t>
  </si>
  <si>
    <t>Cash Dividend Paid</t>
  </si>
  <si>
    <t>Total Equity per books  =</t>
  </si>
  <si>
    <t>Common Equity =</t>
  </si>
  <si>
    <t>Terminal Value</t>
  </si>
  <si>
    <t>Base Year</t>
  </si>
  <si>
    <t>https://edgeinvestments.org/blog/peter-lynch-stock-categories</t>
  </si>
  <si>
    <t>4. Working Capital</t>
  </si>
  <si>
    <t>2. Total Debt + PS + Options</t>
  </si>
  <si>
    <t>Non-cash WC/ Sales Benchmark</t>
  </si>
  <si>
    <t>Current Non-cash WC/ Sales Estimate</t>
  </si>
  <si>
    <r>
      <t xml:space="preserve">⇒ </t>
    </r>
    <r>
      <rPr>
        <b/>
        <u/>
        <sz val="11"/>
        <color rgb="FF000000"/>
        <rFont val="Times New Roman"/>
        <family val="1"/>
      </rPr>
      <t>WC/Sales for the model</t>
    </r>
  </si>
  <si>
    <t>Reinvestment Estimate</t>
  </si>
  <si>
    <t>Net Profit Growth</t>
  </si>
  <si>
    <t>Nominal Rf</t>
  </si>
  <si>
    <t>+ ERP</t>
  </si>
  <si>
    <t>NOPAT Growth rate</t>
  </si>
  <si>
    <t>3. Does the company have a stable and durable business?</t>
  </si>
  <si>
    <t>4. Does the company have rational and responsible managers?</t>
  </si>
  <si>
    <t>5. Does the company have a Excellent business?</t>
  </si>
  <si>
    <t>1. Does the company have simple revenue and expense streams to understand?</t>
  </si>
  <si>
    <t>1. Does the company have a non-cylical business?</t>
  </si>
  <si>
    <t>2. Does the company have simple and meaningful assets base to value?</t>
  </si>
  <si>
    <r>
      <t xml:space="preserve">3. Has management resisted the temptation to </t>
    </r>
    <r>
      <rPr>
        <i/>
        <sz val="11"/>
        <color theme="1"/>
        <rFont val="Times New Roman"/>
        <family val="1"/>
      </rPr>
      <t>grow quickly by merger</t>
    </r>
    <r>
      <rPr>
        <sz val="11"/>
        <color theme="1"/>
        <rFont val="Times New Roman"/>
        <family val="1"/>
      </rPr>
      <t xml:space="preserve"> or </t>
    </r>
    <r>
      <rPr>
        <i/>
        <sz val="11"/>
        <color theme="1"/>
        <rFont val="Times New Roman"/>
        <family val="1"/>
      </rPr>
      <t>buy back stock opportunistically</t>
    </r>
    <r>
      <rPr>
        <sz val="11"/>
        <color theme="1"/>
        <rFont val="Times New Roman"/>
        <family val="1"/>
      </rPr>
      <t>?</t>
    </r>
  </si>
  <si>
    <t>4. Does the company and management have good reputation?</t>
  </si>
  <si>
    <t>2. There is no network effect and low customer switching cost.</t>
  </si>
  <si>
    <t>3. There are low capital requirements.</t>
  </si>
  <si>
    <t xml:space="preserve">4. There is no incumbency advantages independent of size. (like management skill etc) </t>
  </si>
  <si>
    <t>2. There is high switching costs in changing suppliers.</t>
  </si>
  <si>
    <t>3. The suppliers offer products that are differentiated. (tech, brand, etc.)</t>
  </si>
  <si>
    <t>4. There is no substitute for what the supplier group provides.</t>
  </si>
  <si>
    <t>5. The supplier group can credibly threaten to integrate forward into the industry.</t>
  </si>
  <si>
    <t>3. The company have a negative ESG value.</t>
  </si>
  <si>
    <t>4. There is no restrictive government policy</t>
  </si>
  <si>
    <t>5. How long is the industry average asset life?</t>
  </si>
  <si>
    <t>R&amp;D expenses</t>
  </si>
  <si>
    <t>R&amp;D / Sales</t>
  </si>
  <si>
    <t>Base Case</t>
  </si>
  <si>
    <t>Reasonable Case</t>
  </si>
  <si>
    <t>PP&amp;E &amp; related assets</t>
  </si>
  <si>
    <t>Biological assets</t>
  </si>
  <si>
    <t>1. Is the company's balance sheet strong?  (Measured by Liquidity)</t>
  </si>
  <si>
    <t>NOPAT margin</t>
  </si>
  <si>
    <r>
      <t xml:space="preserve">5. There is no truly </t>
    </r>
    <r>
      <rPr>
        <i/>
        <sz val="11"/>
        <color theme="1"/>
        <rFont val="Times New Roman"/>
        <family val="1"/>
      </rPr>
      <t>durable</t>
    </r>
    <r>
      <rPr>
        <sz val="11"/>
        <color theme="1"/>
        <rFont val="Times New Roman"/>
        <family val="1"/>
      </rPr>
      <t xml:space="preserve"> competitive advantage. (better than industry or like the brands in food industry)</t>
    </r>
  </si>
  <si>
    <t>Next Buy Price =</t>
  </si>
  <si>
    <t>Book Current Ratio</t>
  </si>
  <si>
    <t>Book Quick Ratio</t>
  </si>
  <si>
    <t>Book Cash Ratio</t>
  </si>
  <si>
    <t>ST Cash-debt Ratio</t>
  </si>
  <si>
    <t>LT Cash-debt Ratio</t>
  </si>
  <si>
    <t>Total Liabilities</t>
  </si>
  <si>
    <t>Debt to CE Ratio</t>
  </si>
  <si>
    <t>ST Quick Ratio</t>
  </si>
  <si>
    <t>LT Quick Ratio</t>
  </si>
  <si>
    <t>Allocation Analysis</t>
  </si>
  <si>
    <t>80% chance of recession in US, and 50% chance of spilling over</t>
  </si>
  <si>
    <t>2. The probability of correctly forecasting the FCF based on the investment category</t>
  </si>
  <si>
    <t>1. The valuation quality rating (proxy of the "Error Term")</t>
  </si>
  <si>
    <t>60% chance of chinese recession</t>
  </si>
  <si>
    <t>A = Upside in event of a win</t>
  </si>
  <si>
    <t>B = Downside in event of a loss</t>
  </si>
  <si>
    <t>R = A/B</t>
  </si>
  <si>
    <t>W = The estimated probability of win</t>
  </si>
  <si>
    <t>3. The business quality rating (proxy for not overestimating the exit)</t>
  </si>
  <si>
    <t>capped at</t>
  </si>
  <si>
    <t xml:space="preserve">Asset Plays </t>
  </si>
  <si>
    <t>= Net Non-operating Assets per share</t>
  </si>
  <si>
    <t>Expected Exit Price</t>
  </si>
  <si>
    <t>Investment Checklist</t>
  </si>
  <si>
    <t>1. Value Trap</t>
  </si>
  <si>
    <t>2. Growth Trap</t>
  </si>
  <si>
    <t>Expected Equity Value =</t>
  </si>
  <si>
    <t>Worst Case Exit Price</t>
  </si>
  <si>
    <t>Valuation Ouput</t>
  </si>
  <si>
    <t>Ex-post Cost per share =</t>
  </si>
  <si>
    <t>Ex-ante</t>
  </si>
  <si>
    <t>Ex-post</t>
  </si>
  <si>
    <t>4. The probability of an ex-post recession affecting the company</t>
  </si>
  <si>
    <t>Kelly's Formula: [W – (1 – W)/R] / K, Where K =</t>
  </si>
  <si>
    <t>% Allocation</t>
  </si>
  <si>
    <t>Performance Target =</t>
  </si>
  <si>
    <t>b) It's far better to buy a wonderful company at a fair price than a fair company at a wonderful price, but it takes more efforts on research</t>
  </si>
  <si>
    <t>a) Don't buy a mediocre value stock with low trading volume and mediocre dividend</t>
  </si>
  <si>
    <t>a) Don't buy a High growth company with unproven products or products you don't trust</t>
  </si>
  <si>
    <t>b) Don't buy into unsustainable PE ratios</t>
  </si>
  <si>
    <t>Can it be Fixed?</t>
  </si>
  <si>
    <t>What Went Wrong?</t>
  </si>
  <si>
    <t>DuPont Formula</t>
  </si>
  <si>
    <t>EBIT / Sales</t>
  </si>
  <si>
    <t>Sales / Total Assets</t>
  </si>
  <si>
    <t>Total Assets / Common Equity</t>
  </si>
  <si>
    <t>ROE = EBIT / Common Equity</t>
  </si>
  <si>
    <t>SGR = b * ROE</t>
  </si>
  <si>
    <t>b = Reinvestment/NOPAT</t>
  </si>
  <si>
    <t>FY</t>
  </si>
  <si>
    <t>收租業務</t>
  </si>
  <si>
    <t>酒店及服務式公寓業務</t>
  </si>
  <si>
    <t>餐飲業務</t>
  </si>
  <si>
    <t>旅遊業務</t>
  </si>
  <si>
    <t>Consumer Discretionary, 12.4y</t>
  </si>
  <si>
    <t>FCFF Model</t>
  </si>
  <si>
    <t>RI Model</t>
  </si>
  <si>
    <t>Interest Rate</t>
  </si>
  <si>
    <t>Owner's Earnings</t>
  </si>
  <si>
    <t>Owner's Earnings per share</t>
  </si>
  <si>
    <t>EVA</t>
  </si>
  <si>
    <t>PV FCFF per share</t>
  </si>
  <si>
    <t>EVA =  Owner's earnings - Cost of Capital Invested</t>
  </si>
  <si>
    <t>Owner's earnings = FCFE + net borrowing = FCFF - after tax Interest expense</t>
  </si>
  <si>
    <t>Cost of CI per share</t>
  </si>
  <si>
    <t>Cost of Capital Invested</t>
  </si>
  <si>
    <r>
      <rPr>
        <b/>
        <u/>
        <sz val="11"/>
        <color rgb="FF000000"/>
        <rFont val="Times New Roman"/>
        <family val="1"/>
      </rPr>
      <t>Equity Value</t>
    </r>
    <r>
      <rPr>
        <b/>
        <sz val="11"/>
        <color rgb="FF000000"/>
        <rFont val="Times New Roman"/>
        <family val="1"/>
      </rPr>
      <t xml:space="preserve"> using FCFF Model</t>
    </r>
  </si>
  <si>
    <t>Equity Value Ouput</t>
  </si>
  <si>
    <r>
      <rPr>
        <b/>
        <u/>
        <sz val="11"/>
        <color rgb="FF000000"/>
        <rFont val="Times New Roman"/>
        <family val="1"/>
      </rPr>
      <t>Equity Value</t>
    </r>
    <r>
      <rPr>
        <b/>
        <sz val="11"/>
        <color rgb="FF000000"/>
        <rFont val="Times New Roman"/>
        <family val="1"/>
      </rPr>
      <t xml:space="preserve"> using RI Model</t>
    </r>
  </si>
  <si>
    <t>Interest Bearing Debt</t>
  </si>
  <si>
    <t>Average Past Interest Bearing debt</t>
  </si>
  <si>
    <t>1.8% + 3 Month Hibor</t>
  </si>
  <si>
    <t>Frd. DPS</t>
  </si>
  <si>
    <t>PV of EVA</t>
  </si>
  <si>
    <t>Int(1 - tax rate)</t>
  </si>
  <si>
    <t>Tax Rate</t>
  </si>
  <si>
    <t>Achievable Market Exit Price</t>
  </si>
  <si>
    <t>Conservative Exit Price</t>
  </si>
  <si>
    <t>Conservative Exit Price =</t>
  </si>
  <si>
    <t>2% growth at Terminal year</t>
  </si>
  <si>
    <t>Orderly Liquidation Values =</t>
  </si>
  <si>
    <t>Orderly Liquidation Value per Shares =</t>
  </si>
  <si>
    <t>Augmenting the asset mdoel because RI Model can better value asset-light stocks</t>
  </si>
  <si>
    <t>+ Orderly Liquidation Value</t>
  </si>
  <si>
    <t>Target Return</t>
  </si>
  <si>
    <t>MOS =</t>
  </si>
  <si>
    <t>6601.HK</t>
  </si>
  <si>
    <t>CHEERWIN GP</t>
  </si>
  <si>
    <t>CNY</t>
  </si>
  <si>
    <t>CN</t>
  </si>
  <si>
    <t>家居清潔产品生产商</t>
  </si>
  <si>
    <t>1. 可依托母公司立白的支持
2. 通过IPO积累大量现金，Strong Balance Sheet with no debt
3. 家居清潔業務市场地位比较稳定</t>
  </si>
  <si>
    <t>1. 宠物护理市场广阔，是可持续增长的业务</t>
  </si>
  <si>
    <t>1. 家居清潔業務处于红海市场，容量可能持续萎缩
2. 宠物护理市场容量及基数都较小，不足以取代家居清潔業務</t>
  </si>
  <si>
    <t>1. 宠物护理市场竞争大，现在公司优势很小</t>
  </si>
  <si>
    <t>1. No. 传统业务肯定很难改变，但也不会像市场想象的那么悲观，公司产品是有竞争力及需求的
2. No. 宠物护理基数太小，短期没有替代作用</t>
  </si>
  <si>
    <t>Current Industry average PB is 1.01, while 5yrs average is 1.38</t>
  </si>
  <si>
    <t>&gt;10% growth in the first half</t>
  </si>
  <si>
    <t>Room for further cutting the Operating expense is low</t>
  </si>
  <si>
    <t>1. 家居清潔業務处于红海市场，容量可能持续萎缩
2. 家居清潔業務高端化难度很大，进口产品竞争力强
3. 不是港股通的一员，交易量小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</si>
</sst>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7">
    <numFmt numFmtId="6" formatCode="&quot;$&quot;#,##0_);[Red]\(&quot;$&quot;#,##0\)"/>
    <numFmt numFmtId="8" formatCode="&quot;$&quot;#,##0.00_);[Red]\(&quot;$&quot;#,##0.00\)"/>
    <numFmt numFmtId="43" formatCode="_(* #,##0.00_);_(* \(#,##0.00\);_(* &quot;-&quot;??_);_(@_)"/>
    <numFmt numFmtId="164" formatCode="yyyy\-mm\-dd"/>
    <numFmt numFmtId="165" formatCode="#,##0&quot;mm&quot;"/>
    <numFmt numFmtId="166" formatCode="#,##0.00&quot;x&quot;"/>
    <numFmt numFmtId="167" formatCode="0.00\x"/>
    <numFmt numFmtId="168" formatCode="&quot;Base Allocation &quot;0%"/>
    <numFmt numFmtId="169" formatCode="&quot;Increased Allocation &quot;0%"/>
    <numFmt numFmtId="170" formatCode="&quot;Last Allocation &quot;0%"/>
    <numFmt numFmtId="171" formatCode="[$$]#,##0&quot;m&quot;"/>
    <numFmt numFmtId="172" formatCode="&quot;Past &quot;0&quot; yrs Avg. NI&quot;"/>
    <numFmt numFmtId="173" formatCode="0.00&quot;x&quot;"/>
    <numFmt numFmtId="174" formatCode="&quot;Past &quot;0&quot; yrs Avg. NOPAT&quot;"/>
    <numFmt numFmtId="175" formatCode="#,##0;[Red]\(#,##0\);\-"/>
    <numFmt numFmtId="176" formatCode="&quot;Current Price = &quot;0.00"/>
    <numFmt numFmtId="177" formatCode="yyyy\-mm\-dd;@"/>
    <numFmt numFmtId="178" formatCode="_(* #,##0_);_(* \(#,##0\);_(* &quot;-&quot;??_);_(@_)"/>
    <numFmt numFmtId="179" formatCode="#,##0.00;[Red]#,##0.00"/>
    <numFmt numFmtId="180" formatCode="&quot;in&quot;\ 0\ &quot;Months&quot;"/>
    <numFmt numFmtId="181" formatCode="&quot;Breakeven Price = &quot;0.00"/>
    <numFmt numFmtId="182" formatCode="&quot;Next Buy Price = &quot;0.00"/>
    <numFmt numFmtId="183" formatCode="0.0%"/>
    <numFmt numFmtId="184" formatCode="&quot;FCFF per share = &quot;#,##0.00"/>
    <numFmt numFmtId="185" formatCode="&quot;CI = &quot;0.00"/>
    <numFmt numFmtId="186" formatCode="&quot;ω = &quot;0.00"/>
    <numFmt numFmtId="187" formatCode="&quot;Total &quot;0.00%"/>
  </numFmts>
  <fonts count="32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FF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u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sz val="11"/>
      <color rgb="FF002060"/>
      <name val="Times New Roman"/>
      <family val="1"/>
    </font>
    <font>
      <b/>
      <i/>
      <u/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  <font>
      <b/>
      <i/>
      <u/>
      <sz val="11"/>
      <color theme="1"/>
      <name val="Times New Roman"/>
      <family val="1"/>
    </font>
    <font>
      <b/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i/>
      <sz val="11"/>
      <color rgb="FF00206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i/>
      <sz val="11"/>
      <name val="Times New Roman"/>
      <family val="1"/>
    </font>
    <font>
      <sz val="11"/>
      <color theme="2" tint="-0.14999847407452621"/>
      <name val="Times New Roman"/>
      <family val="1"/>
    </font>
    <font>
      <sz val="9"/>
      <name val="Arial"/>
      <family val="3"/>
      <charset val="134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B7B7B7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rgb="FFB6D7A8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rgb="FFA4C2F4"/>
      </patternFill>
    </fill>
    <fill>
      <patternFill patternType="solid">
        <fgColor theme="6" tint="0.59999389629810485"/>
        <bgColor rgb="FFFFE599"/>
      </patternFill>
    </fill>
    <fill>
      <patternFill patternType="solid">
        <fgColor rgb="FFFFFFCC"/>
        <bgColor rgb="FFB7B7B7"/>
      </patternFill>
    </fill>
    <fill>
      <patternFill patternType="solid">
        <fgColor theme="6" tint="0.59999389629810485"/>
        <bgColor rgb="FFB6D7A8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4.9989318521683403E-2"/>
        <bgColor indexed="64"/>
      </patternFill>
    </fill>
  </fills>
  <borders count="126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/>
      <diagonal/>
    </border>
    <border>
      <left/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 style="dotted">
        <color rgb="FF000000"/>
      </bottom>
      <diagonal/>
    </border>
    <border>
      <left style="dotted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indexed="64"/>
      </left>
      <right style="dotted">
        <color rgb="FF000000"/>
      </right>
      <top style="thin">
        <color indexed="64"/>
      </top>
      <bottom/>
      <diagonal/>
    </border>
    <border>
      <left style="thin">
        <color indexed="64"/>
      </left>
      <right style="dotted">
        <color rgb="FF000000"/>
      </right>
      <top/>
      <bottom/>
      <diagonal/>
    </border>
    <border>
      <left style="thin">
        <color indexed="64"/>
      </left>
      <right style="dotted">
        <color rgb="FF000000"/>
      </right>
      <top/>
      <bottom style="thin">
        <color indexed="64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/>
      <right/>
      <top/>
      <bottom style="double">
        <color indexed="64"/>
      </bottom>
      <diagonal/>
    </border>
    <border>
      <left style="dotted">
        <color indexed="64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/>
      <top style="double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uble">
        <color rgb="FF000000"/>
      </top>
      <bottom style="thin">
        <color rgb="FF000000"/>
      </bottom>
      <diagonal/>
    </border>
    <border>
      <left style="dotted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/>
      <top style="thin">
        <color rgb="FF000000"/>
      </top>
      <bottom/>
      <diagonal/>
    </border>
    <border>
      <left/>
      <right style="dotted">
        <color rgb="FF000000"/>
      </right>
      <top style="thin">
        <color rgb="FF000000"/>
      </top>
      <bottom/>
      <diagonal/>
    </border>
    <border>
      <left style="dotted">
        <color rgb="FF000000"/>
      </left>
      <right/>
      <top style="dotted">
        <color rgb="FF000000"/>
      </top>
      <bottom style="thin">
        <color indexed="64"/>
      </bottom>
      <diagonal/>
    </border>
    <border>
      <left/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/>
      <bottom/>
      <diagonal/>
    </border>
    <border>
      <left style="dotted">
        <color rgb="FF000000"/>
      </left>
      <right style="dotted">
        <color indexed="64"/>
      </right>
      <top style="thin">
        <color rgb="FF000000"/>
      </top>
      <bottom style="thin">
        <color rgb="FF000000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/>
      <bottom/>
      <diagonal/>
    </border>
    <border>
      <left/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thin">
        <color indexed="64"/>
      </right>
      <top/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/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 style="dotted">
        <color indexed="64"/>
      </right>
      <top style="double">
        <color indexed="64"/>
      </top>
      <bottom style="thin">
        <color indexed="64"/>
      </bottom>
      <diagonal/>
    </border>
    <border>
      <left style="dotted">
        <color indexed="64"/>
      </left>
      <right/>
      <top style="double">
        <color indexed="64"/>
      </top>
      <bottom style="thin">
        <color indexed="64"/>
      </bottom>
      <diagonal/>
    </border>
    <border>
      <left style="dotted">
        <color rgb="FF000000"/>
      </left>
      <right/>
      <top style="dotted">
        <color indexed="64"/>
      </top>
      <bottom style="double">
        <color indexed="64"/>
      </bottom>
      <diagonal/>
    </border>
    <border>
      <left/>
      <right style="dotted">
        <color indexed="64"/>
      </right>
      <top style="dotted">
        <color indexed="64"/>
      </top>
      <bottom style="double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tted">
        <color indexed="64"/>
      </bottom>
      <diagonal/>
    </border>
    <border>
      <left/>
      <right/>
      <top/>
      <bottom style="dotted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 style="dotted">
        <color indexed="64"/>
      </left>
      <right/>
      <top style="thin">
        <color indexed="64"/>
      </top>
      <bottom style="thin">
        <color rgb="FF000000"/>
      </bottom>
      <diagonal/>
    </border>
    <border>
      <left style="dotted">
        <color indexed="64"/>
      </left>
      <right/>
      <top/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uble">
        <color indexed="64"/>
      </left>
      <right style="dotted">
        <color indexed="64"/>
      </right>
      <top style="dotted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dotted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dotted">
        <color rgb="FF000000"/>
      </left>
      <right/>
      <top style="thin">
        <color indexed="64"/>
      </top>
      <bottom style="thin">
        <color indexed="64"/>
      </bottom>
      <diagonal/>
    </border>
    <border>
      <left/>
      <right style="dotted">
        <color rgb="FF000000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/>
      <top style="dotted">
        <color rgb="FF000000"/>
      </top>
      <bottom style="double">
        <color indexed="64"/>
      </bottom>
      <diagonal/>
    </border>
    <border>
      <left style="dotted">
        <color indexed="64"/>
      </left>
      <right style="dotted">
        <color rgb="FF000000"/>
      </right>
      <top style="dotted">
        <color rgb="FF000000"/>
      </top>
      <bottom style="double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uble">
        <color indexed="64"/>
      </bottom>
      <diagonal/>
    </border>
    <border>
      <left style="dotted">
        <color rgb="FF000000"/>
      </left>
      <right style="dotted">
        <color indexed="64"/>
      </right>
      <top style="thin">
        <color indexed="64"/>
      </top>
      <bottom style="dotted">
        <color rgb="FF000000"/>
      </bottom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double">
        <color indexed="64"/>
      </bottom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 style="dotted">
        <color indexed="64"/>
      </right>
      <top style="double">
        <color rgb="FF000000"/>
      </top>
      <bottom style="thin">
        <color indexed="64"/>
      </bottom>
      <diagonal/>
    </border>
    <border>
      <left style="dotted">
        <color indexed="64"/>
      </left>
      <right/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uble">
        <color indexed="64"/>
      </bottom>
      <diagonal/>
    </border>
  </borders>
  <cellStyleXfs count="3">
    <xf numFmtId="0" fontId="0" fillId="0" borderId="0"/>
    <xf numFmtId="43" fontId="26" fillId="0" borderId="0" applyFont="0" applyFill="0" applyBorder="0" applyAlignment="0" applyProtection="0"/>
    <xf numFmtId="0" fontId="28" fillId="0" borderId="0" applyNumberFormat="0" applyFill="0" applyBorder="0" applyAlignment="0" applyProtection="0"/>
  </cellStyleXfs>
  <cellXfs count="49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/>
    <xf numFmtId="0" fontId="5" fillId="6" borderId="0" xfId="0" applyFont="1" applyFill="1"/>
    <xf numFmtId="0" fontId="1" fillId="0" borderId="9" xfId="0" applyFont="1" applyBorder="1"/>
    <xf numFmtId="0" fontId="5" fillId="0" borderId="9" xfId="0" applyFont="1" applyBorder="1"/>
    <xf numFmtId="0" fontId="1" fillId="0" borderId="1" xfId="0" applyFont="1" applyBorder="1"/>
    <xf numFmtId="0" fontId="1" fillId="0" borderId="2" xfId="0" applyFont="1" applyBorder="1"/>
    <xf numFmtId="0" fontId="1" fillId="3" borderId="9" xfId="0" applyFont="1" applyFill="1" applyBorder="1"/>
    <xf numFmtId="0" fontId="5" fillId="6" borderId="9" xfId="0" applyFont="1" applyFill="1" applyBorder="1"/>
    <xf numFmtId="0" fontId="14" fillId="0" borderId="2" xfId="0" applyFont="1" applyBorder="1"/>
    <xf numFmtId="0" fontId="5" fillId="0" borderId="2" xfId="0" applyFont="1" applyBorder="1"/>
    <xf numFmtId="0" fontId="9" fillId="0" borderId="9" xfId="0" applyFont="1" applyBorder="1"/>
    <xf numFmtId="10" fontId="1" fillId="0" borderId="13" xfId="0" applyNumberFormat="1" applyFont="1" applyBorder="1" applyAlignment="1">
      <alignment horizontal="center"/>
    </xf>
    <xf numFmtId="0" fontId="5" fillId="0" borderId="14" xfId="0" applyFont="1" applyBorder="1"/>
    <xf numFmtId="0" fontId="1" fillId="0" borderId="15" xfId="0" applyFont="1" applyBorder="1"/>
    <xf numFmtId="0" fontId="8" fillId="0" borderId="9" xfId="0" applyFont="1" applyBorder="1" applyAlignment="1">
      <alignment horizontal="right"/>
    </xf>
    <xf numFmtId="10" fontId="1" fillId="0" borderId="17" xfId="0" applyNumberFormat="1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6" fillId="0" borderId="2" xfId="0" applyFont="1" applyBorder="1"/>
    <xf numFmtId="0" fontId="15" fillId="7" borderId="9" xfId="0" applyFont="1" applyFill="1" applyBorder="1"/>
    <xf numFmtId="0" fontId="1" fillId="0" borderId="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6" fillId="7" borderId="9" xfId="0" applyFont="1" applyFill="1" applyBorder="1"/>
    <xf numFmtId="3" fontId="1" fillId="0" borderId="13" xfId="0" applyNumberFormat="1" applyFont="1" applyBorder="1" applyAlignment="1">
      <alignment horizontal="center"/>
    </xf>
    <xf numFmtId="0" fontId="15" fillId="7" borderId="2" xfId="0" applyFont="1" applyFill="1" applyBorder="1" applyAlignment="1">
      <alignment horizontal="center"/>
    </xf>
    <xf numFmtId="0" fontId="12" fillId="0" borderId="2" xfId="0" applyFont="1" applyBorder="1" applyAlignment="1">
      <alignment horizontal="right"/>
    </xf>
    <xf numFmtId="0" fontId="5" fillId="0" borderId="9" xfId="0" applyFont="1" applyBorder="1" applyAlignment="1">
      <alignment horizontal="center"/>
    </xf>
    <xf numFmtId="0" fontId="2" fillId="9" borderId="13" xfId="0" applyFont="1" applyFill="1" applyBorder="1" applyAlignment="1">
      <alignment horizontal="center"/>
    </xf>
    <xf numFmtId="4" fontId="2" fillId="9" borderId="20" xfId="0" applyNumberFormat="1" applyFont="1" applyFill="1" applyBorder="1" applyAlignment="1">
      <alignment horizontal="right"/>
    </xf>
    <xf numFmtId="0" fontId="2" fillId="9" borderId="21" xfId="0" applyFont="1" applyFill="1" applyBorder="1" applyAlignment="1">
      <alignment horizontal="left"/>
    </xf>
    <xf numFmtId="6" fontId="2" fillId="9" borderId="2" xfId="0" applyNumberFormat="1" applyFont="1" applyFill="1" applyBorder="1" applyAlignment="1">
      <alignment horizontal="center"/>
    </xf>
    <xf numFmtId="3" fontId="2" fillId="9" borderId="13" xfId="0" applyNumberFormat="1" applyFont="1" applyFill="1" applyBorder="1" applyAlignment="1">
      <alignment horizontal="center"/>
    </xf>
    <xf numFmtId="0" fontId="3" fillId="3" borderId="9" xfId="0" applyFont="1" applyFill="1" applyBorder="1"/>
    <xf numFmtId="0" fontId="17" fillId="0" borderId="0" xfId="0" applyFont="1"/>
    <xf numFmtId="0" fontId="10" fillId="0" borderId="0" xfId="0" applyFont="1"/>
    <xf numFmtId="0" fontId="3" fillId="6" borderId="9" xfId="0" applyFont="1" applyFill="1" applyBorder="1"/>
    <xf numFmtId="0" fontId="10" fillId="0" borderId="2" xfId="0" applyFont="1" applyBorder="1"/>
    <xf numFmtId="174" fontId="7" fillId="0" borderId="9" xfId="0" applyNumberFormat="1" applyFont="1" applyBorder="1" applyAlignment="1">
      <alignment horizontal="left"/>
    </xf>
    <xf numFmtId="0" fontId="1" fillId="0" borderId="9" xfId="0" applyFont="1" applyBorder="1" applyAlignment="1">
      <alignment wrapText="1"/>
    </xf>
    <xf numFmtId="0" fontId="19" fillId="0" borderId="29" xfId="0" applyFont="1" applyBorder="1" applyAlignment="1">
      <alignment horizontal="center" wrapText="1"/>
    </xf>
    <xf numFmtId="0" fontId="19" fillId="0" borderId="30" xfId="0" applyFont="1" applyBorder="1" applyAlignment="1">
      <alignment horizontal="center" wrapText="1"/>
    </xf>
    <xf numFmtId="3" fontId="1" fillId="2" borderId="13" xfId="0" applyNumberFormat="1" applyFont="1" applyFill="1" applyBorder="1" applyAlignment="1">
      <alignment horizontal="center"/>
    </xf>
    <xf numFmtId="0" fontId="19" fillId="0" borderId="31" xfId="0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10" fontId="1" fillId="0" borderId="24" xfId="0" applyNumberFormat="1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166" fontId="1" fillId="0" borderId="13" xfId="0" applyNumberFormat="1" applyFont="1" applyBorder="1" applyAlignment="1">
      <alignment horizontal="center"/>
    </xf>
    <xf numFmtId="4" fontId="1" fillId="0" borderId="19" xfId="0" applyNumberFormat="1" applyFont="1" applyBorder="1" applyAlignment="1">
      <alignment horizontal="center"/>
    </xf>
    <xf numFmtId="0" fontId="10" fillId="0" borderId="9" xfId="0" applyFont="1" applyBorder="1"/>
    <xf numFmtId="0" fontId="1" fillId="0" borderId="0" xfId="0" applyFont="1"/>
    <xf numFmtId="0" fontId="1" fillId="0" borderId="6" xfId="0" applyFont="1" applyBorder="1"/>
    <xf numFmtId="0" fontId="1" fillId="0" borderId="5" xfId="0" applyFont="1" applyBorder="1"/>
    <xf numFmtId="3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1" fillId="0" borderId="0" xfId="0" quotePrefix="1" applyFont="1"/>
    <xf numFmtId="3" fontId="1" fillId="0" borderId="16" xfId="0" applyNumberFormat="1" applyFont="1" applyBorder="1"/>
    <xf numFmtId="0" fontId="15" fillId="0" borderId="9" xfId="0" applyFont="1" applyBorder="1" applyAlignment="1">
      <alignment horizontal="center"/>
    </xf>
    <xf numFmtId="4" fontId="1" fillId="2" borderId="28" xfId="0" applyNumberFormat="1" applyFont="1" applyFill="1" applyBorder="1"/>
    <xf numFmtId="10" fontId="2" fillId="0" borderId="9" xfId="0" applyNumberFormat="1" applyFont="1" applyBorder="1" applyAlignment="1">
      <alignment horizontal="center"/>
    </xf>
    <xf numFmtId="0" fontId="1" fillId="5" borderId="9" xfId="0" applyFont="1" applyFill="1" applyBorder="1"/>
    <xf numFmtId="3" fontId="2" fillId="8" borderId="13" xfId="0" applyNumberFormat="1" applyFont="1" applyFill="1" applyBorder="1"/>
    <xf numFmtId="10" fontId="2" fillId="8" borderId="13" xfId="0" applyNumberFormat="1" applyFont="1" applyFill="1" applyBorder="1" applyAlignment="1">
      <alignment horizontal="center"/>
    </xf>
    <xf numFmtId="0" fontId="8" fillId="0" borderId="9" xfId="0" applyFont="1" applyBorder="1"/>
    <xf numFmtId="3" fontId="8" fillId="0" borderId="13" xfId="0" applyNumberFormat="1" applyFont="1" applyBorder="1"/>
    <xf numFmtId="10" fontId="8" fillId="0" borderId="13" xfId="0" applyNumberFormat="1" applyFont="1" applyBorder="1" applyAlignment="1">
      <alignment horizontal="center"/>
    </xf>
    <xf numFmtId="167" fontId="8" fillId="2" borderId="13" xfId="0" applyNumberFormat="1" applyFont="1" applyFill="1" applyBorder="1" applyAlignment="1">
      <alignment horizontal="right"/>
    </xf>
    <xf numFmtId="3" fontId="1" fillId="0" borderId="13" xfId="0" applyNumberFormat="1" applyFont="1" applyBorder="1"/>
    <xf numFmtId="0" fontId="16" fillId="0" borderId="0" xfId="0" applyFont="1"/>
    <xf numFmtId="10" fontId="2" fillId="8" borderId="17" xfId="0" applyNumberFormat="1" applyFont="1" applyFill="1" applyBorder="1" applyAlignment="1">
      <alignment horizontal="center"/>
    </xf>
    <xf numFmtId="0" fontId="2" fillId="0" borderId="0" xfId="0" applyFont="1"/>
    <xf numFmtId="0" fontId="3" fillId="0" borderId="9" xfId="0" applyFont="1" applyBorder="1"/>
    <xf numFmtId="3" fontId="2" fillId="8" borderId="19" xfId="0" applyNumberFormat="1" applyFont="1" applyFill="1" applyBorder="1" applyAlignment="1">
      <alignment horizontal="center"/>
    </xf>
    <xf numFmtId="10" fontId="2" fillId="0" borderId="0" xfId="0" applyNumberFormat="1" applyFont="1" applyAlignment="1">
      <alignment horizontal="left"/>
    </xf>
    <xf numFmtId="10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center"/>
    </xf>
    <xf numFmtId="0" fontId="1" fillId="0" borderId="10" xfId="0" applyFont="1" applyBorder="1" applyAlignment="1">
      <alignment horizontal="left"/>
    </xf>
    <xf numFmtId="3" fontId="2" fillId="0" borderId="9" xfId="0" applyNumberFormat="1" applyFont="1" applyBorder="1" applyAlignment="1">
      <alignment horizontal="center"/>
    </xf>
    <xf numFmtId="0" fontId="8" fillId="0" borderId="10" xfId="0" applyFont="1" applyBorder="1" applyAlignment="1">
      <alignment horizontal="right"/>
    </xf>
    <xf numFmtId="3" fontId="1" fillId="0" borderId="9" xfId="0" applyNumberFormat="1" applyFont="1" applyBorder="1" applyAlignment="1">
      <alignment horizontal="center"/>
    </xf>
    <xf numFmtId="0" fontId="5" fillId="0" borderId="0" xfId="0" quotePrefix="1" applyFont="1"/>
    <xf numFmtId="0" fontId="16" fillId="0" borderId="0" xfId="0" applyFont="1" applyAlignment="1">
      <alignment horizontal="left"/>
    </xf>
    <xf numFmtId="10" fontId="5" fillId="0" borderId="9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4" fontId="1" fillId="0" borderId="17" xfId="0" applyNumberFormat="1" applyFont="1" applyBorder="1" applyAlignment="1">
      <alignment horizontal="center"/>
    </xf>
    <xf numFmtId="0" fontId="14" fillId="0" borderId="2" xfId="0" applyFont="1" applyBorder="1" applyAlignment="1">
      <alignment vertical="center"/>
    </xf>
    <xf numFmtId="0" fontId="3" fillId="0" borderId="0" xfId="0" applyFont="1"/>
    <xf numFmtId="0" fontId="18" fillId="0" borderId="9" xfId="0" applyFont="1" applyBorder="1"/>
    <xf numFmtId="0" fontId="17" fillId="0" borderId="2" xfId="0" applyFont="1" applyBorder="1"/>
    <xf numFmtId="0" fontId="15" fillId="0" borderId="9" xfId="0" applyFont="1" applyBorder="1"/>
    <xf numFmtId="0" fontId="21" fillId="0" borderId="0" xfId="0" applyFont="1"/>
    <xf numFmtId="10" fontId="5" fillId="2" borderId="13" xfId="0" applyNumberFormat="1" applyFont="1" applyFill="1" applyBorder="1" applyAlignment="1">
      <alignment horizontal="center"/>
    </xf>
    <xf numFmtId="0" fontId="22" fillId="0" borderId="0" xfId="0" applyFont="1"/>
    <xf numFmtId="0" fontId="18" fillId="0" borderId="9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10" fontId="10" fillId="0" borderId="9" xfId="0" applyNumberFormat="1" applyFont="1" applyBorder="1"/>
    <xf numFmtId="1" fontId="18" fillId="0" borderId="9" xfId="0" applyNumberFormat="1" applyFont="1" applyBorder="1" applyAlignment="1">
      <alignment horizontal="center"/>
    </xf>
    <xf numFmtId="10" fontId="18" fillId="0" borderId="9" xfId="0" applyNumberFormat="1" applyFont="1" applyBorder="1"/>
    <xf numFmtId="0" fontId="23" fillId="0" borderId="4" xfId="0" applyFont="1" applyBorder="1"/>
    <xf numFmtId="0" fontId="18" fillId="0" borderId="0" xfId="0" applyFont="1"/>
    <xf numFmtId="0" fontId="18" fillId="0" borderId="3" xfId="0" applyFont="1" applyBorder="1"/>
    <xf numFmtId="0" fontId="18" fillId="0" borderId="4" xfId="0" applyFont="1" applyBorder="1"/>
    <xf numFmtId="10" fontId="18" fillId="0" borderId="3" xfId="0" applyNumberFormat="1" applyFont="1" applyBorder="1"/>
    <xf numFmtId="0" fontId="18" fillId="0" borderId="7" xfId="0" applyFont="1" applyBorder="1"/>
    <xf numFmtId="0" fontId="18" fillId="0" borderId="2" xfId="0" applyFont="1" applyBorder="1"/>
    <xf numFmtId="10" fontId="18" fillId="0" borderId="8" xfId="0" applyNumberFormat="1" applyFont="1" applyBorder="1"/>
    <xf numFmtId="0" fontId="1" fillId="11" borderId="33" xfId="0" applyFont="1" applyFill="1" applyBorder="1" applyAlignment="1">
      <alignment horizontal="center"/>
    </xf>
    <xf numFmtId="0" fontId="5" fillId="0" borderId="12" xfId="0" applyFont="1" applyBorder="1"/>
    <xf numFmtId="0" fontId="2" fillId="0" borderId="9" xfId="0" applyFont="1" applyBorder="1"/>
    <xf numFmtId="0" fontId="1" fillId="12" borderId="9" xfId="0" applyFont="1" applyFill="1" applyBorder="1"/>
    <xf numFmtId="0" fontId="1" fillId="12" borderId="2" xfId="0" applyFont="1" applyFill="1" applyBorder="1"/>
    <xf numFmtId="3" fontId="1" fillId="2" borderId="39" xfId="0" applyNumberFormat="1" applyFont="1" applyFill="1" applyBorder="1" applyAlignment="1">
      <alignment horizontal="left"/>
    </xf>
    <xf numFmtId="167" fontId="1" fillId="0" borderId="40" xfId="0" applyNumberFormat="1" applyFont="1" applyBorder="1" applyAlignment="1">
      <alignment horizontal="center"/>
    </xf>
    <xf numFmtId="166" fontId="1" fillId="0" borderId="24" xfId="0" applyNumberFormat="1" applyFont="1" applyBorder="1" applyAlignment="1">
      <alignment horizontal="center"/>
    </xf>
    <xf numFmtId="0" fontId="13" fillId="0" borderId="9" xfId="0" applyFont="1" applyBorder="1"/>
    <xf numFmtId="10" fontId="5" fillId="13" borderId="13" xfId="0" applyNumberFormat="1" applyFont="1" applyFill="1" applyBorder="1" applyAlignment="1">
      <alignment horizontal="center"/>
    </xf>
    <xf numFmtId="10" fontId="18" fillId="0" borderId="9" xfId="0" applyNumberFormat="1" applyFont="1" applyBorder="1" applyAlignment="1">
      <alignment horizontal="center"/>
    </xf>
    <xf numFmtId="0" fontId="15" fillId="0" borderId="11" xfId="0" applyFont="1" applyBorder="1" applyAlignment="1">
      <alignment horizontal="center"/>
    </xf>
    <xf numFmtId="10" fontId="1" fillId="0" borderId="41" xfId="0" applyNumberFormat="1" applyFont="1" applyBorder="1" applyAlignment="1">
      <alignment horizontal="center"/>
    </xf>
    <xf numFmtId="167" fontId="1" fillId="0" borderId="43" xfId="0" applyNumberFormat="1" applyFont="1" applyBorder="1" applyAlignment="1">
      <alignment horizontal="center"/>
    </xf>
    <xf numFmtId="176" fontId="15" fillId="0" borderId="9" xfId="0" applyNumberFormat="1" applyFont="1" applyBorder="1" applyAlignment="1">
      <alignment horizontal="center"/>
    </xf>
    <xf numFmtId="0" fontId="5" fillId="7" borderId="0" xfId="0" applyFont="1" applyFill="1"/>
    <xf numFmtId="0" fontId="5" fillId="0" borderId="11" xfId="0" applyFont="1" applyBorder="1"/>
    <xf numFmtId="0" fontId="1" fillId="0" borderId="11" xfId="0" applyFont="1" applyBorder="1"/>
    <xf numFmtId="4" fontId="2" fillId="9" borderId="48" xfId="0" applyNumberFormat="1" applyFont="1" applyFill="1" applyBorder="1" applyAlignment="1">
      <alignment horizontal="center"/>
    </xf>
    <xf numFmtId="0" fontId="1" fillId="0" borderId="48" xfId="0" applyFont="1" applyBorder="1" applyAlignment="1">
      <alignment horizontal="center"/>
    </xf>
    <xf numFmtId="3" fontId="5" fillId="0" borderId="41" xfId="0" applyNumberFormat="1" applyFont="1" applyBorder="1" applyAlignment="1">
      <alignment horizontal="center"/>
    </xf>
    <xf numFmtId="166" fontId="1" fillId="0" borderId="43" xfId="0" applyNumberFormat="1" applyFont="1" applyBorder="1" applyAlignment="1">
      <alignment horizontal="center"/>
    </xf>
    <xf numFmtId="0" fontId="5" fillId="0" borderId="49" xfId="0" applyFont="1" applyBorder="1"/>
    <xf numFmtId="3" fontId="11" fillId="9" borderId="13" xfId="0" applyNumberFormat="1" applyFont="1" applyFill="1" applyBorder="1" applyAlignment="1">
      <alignment horizontal="right"/>
    </xf>
    <xf numFmtId="0" fontId="25" fillId="0" borderId="30" xfId="0" applyFont="1" applyBorder="1" applyAlignment="1">
      <alignment horizontal="right" wrapText="1"/>
    </xf>
    <xf numFmtId="0" fontId="19" fillId="0" borderId="51" xfId="0" applyFont="1" applyBorder="1" applyAlignment="1">
      <alignment horizontal="center" wrapText="1"/>
    </xf>
    <xf numFmtId="3" fontId="1" fillId="0" borderId="16" xfId="0" applyNumberFormat="1" applyFont="1" applyBorder="1" applyAlignment="1">
      <alignment horizontal="center"/>
    </xf>
    <xf numFmtId="3" fontId="2" fillId="9" borderId="17" xfId="0" applyNumberFormat="1" applyFont="1" applyFill="1" applyBorder="1" applyAlignment="1">
      <alignment horizontal="center"/>
    </xf>
    <xf numFmtId="10" fontId="7" fillId="0" borderId="50" xfId="0" applyNumberFormat="1" applyFont="1" applyBorder="1" applyAlignment="1">
      <alignment horizontal="center"/>
    </xf>
    <xf numFmtId="0" fontId="5" fillId="0" borderId="0" xfId="0" applyFont="1" applyAlignment="1">
      <alignment horizontal="center"/>
    </xf>
    <xf numFmtId="4" fontId="5" fillId="0" borderId="55" xfId="0" applyNumberFormat="1" applyFont="1" applyBorder="1" applyAlignment="1">
      <alignment horizontal="center"/>
    </xf>
    <xf numFmtId="4" fontId="1" fillId="0" borderId="54" xfId="0" applyNumberFormat="1" applyFont="1" applyBorder="1" applyAlignment="1">
      <alignment horizontal="center"/>
    </xf>
    <xf numFmtId="177" fontId="2" fillId="9" borderId="17" xfId="0" applyNumberFormat="1" applyFont="1" applyFill="1" applyBorder="1" applyAlignment="1">
      <alignment horizontal="center"/>
    </xf>
    <xf numFmtId="4" fontId="5" fillId="0" borderId="9" xfId="0" applyNumberFormat="1" applyFont="1" applyBorder="1"/>
    <xf numFmtId="178" fontId="5" fillId="0" borderId="0" xfId="1" applyNumberFormat="1" applyFont="1"/>
    <xf numFmtId="43" fontId="5" fillId="0" borderId="0" xfId="1" applyFont="1"/>
    <xf numFmtId="4" fontId="5" fillId="0" borderId="0" xfId="0" applyNumberFormat="1" applyFont="1"/>
    <xf numFmtId="3" fontId="2" fillId="0" borderId="9" xfId="0" applyNumberFormat="1" applyFont="1" applyBorder="1"/>
    <xf numFmtId="3" fontId="7" fillId="0" borderId="13" xfId="0" applyNumberFormat="1" applyFont="1" applyBorder="1"/>
    <xf numFmtId="0" fontId="13" fillId="0" borderId="0" xfId="0" applyFont="1"/>
    <xf numFmtId="3" fontId="7" fillId="0" borderId="9" xfId="0" applyNumberFormat="1" applyFont="1" applyBorder="1" applyAlignment="1">
      <alignment horizontal="center"/>
    </xf>
    <xf numFmtId="167" fontId="1" fillId="0" borderId="57" xfId="0" applyNumberFormat="1" applyFont="1" applyBorder="1" applyAlignment="1">
      <alignment horizontal="center"/>
    </xf>
    <xf numFmtId="10" fontId="1" fillId="14" borderId="52" xfId="0" applyNumberFormat="1" applyFont="1" applyFill="1" applyBorder="1" applyAlignment="1">
      <alignment horizontal="center"/>
    </xf>
    <xf numFmtId="10" fontId="1" fillId="14" borderId="53" xfId="0" applyNumberFormat="1" applyFont="1" applyFill="1" applyBorder="1" applyAlignment="1">
      <alignment horizontal="center"/>
    </xf>
    <xf numFmtId="10" fontId="1" fillId="0" borderId="58" xfId="0" applyNumberFormat="1" applyFont="1" applyBorder="1" applyAlignment="1">
      <alignment horizontal="center"/>
    </xf>
    <xf numFmtId="10" fontId="1" fillId="0" borderId="59" xfId="0" applyNumberFormat="1" applyFont="1" applyBorder="1" applyAlignment="1">
      <alignment horizontal="center"/>
    </xf>
    <xf numFmtId="10" fontId="1" fillId="0" borderId="60" xfId="0" applyNumberFormat="1" applyFont="1" applyBorder="1" applyAlignment="1">
      <alignment horizontal="center"/>
    </xf>
    <xf numFmtId="3" fontId="2" fillId="8" borderId="41" xfId="0" applyNumberFormat="1" applyFont="1" applyFill="1" applyBorder="1" applyAlignment="1">
      <alignment horizontal="center"/>
    </xf>
    <xf numFmtId="3" fontId="2" fillId="8" borderId="42" xfId="0" applyNumberFormat="1" applyFont="1" applyFill="1" applyBorder="1" applyAlignment="1">
      <alignment horizontal="center"/>
    </xf>
    <xf numFmtId="3" fontId="2" fillId="8" borderId="61" xfId="0" applyNumberFormat="1" applyFont="1" applyFill="1" applyBorder="1" applyAlignment="1">
      <alignment horizontal="center"/>
    </xf>
    <xf numFmtId="3" fontId="2" fillId="8" borderId="62" xfId="0" applyNumberFormat="1" applyFont="1" applyFill="1" applyBorder="1" applyAlignment="1">
      <alignment horizontal="center"/>
    </xf>
    <xf numFmtId="0" fontId="19" fillId="0" borderId="64" xfId="0" applyFont="1" applyBorder="1" applyAlignment="1">
      <alignment horizontal="center" wrapText="1"/>
    </xf>
    <xf numFmtId="0" fontId="19" fillId="0" borderId="65" xfId="0" applyFont="1" applyBorder="1" applyAlignment="1">
      <alignment horizontal="center" wrapText="1"/>
    </xf>
    <xf numFmtId="4" fontId="7" fillId="13" borderId="41" xfId="0" applyNumberFormat="1" applyFont="1" applyFill="1" applyBorder="1" applyAlignment="1">
      <alignment horizontal="center"/>
    </xf>
    <xf numFmtId="4" fontId="7" fillId="13" borderId="62" xfId="0" applyNumberFormat="1" applyFont="1" applyFill="1" applyBorder="1" applyAlignment="1">
      <alignment horizontal="center"/>
    </xf>
    <xf numFmtId="4" fontId="7" fillId="13" borderId="43" xfId="0" applyNumberFormat="1" applyFont="1" applyFill="1" applyBorder="1" applyAlignment="1">
      <alignment horizontal="center"/>
    </xf>
    <xf numFmtId="4" fontId="7" fillId="13" borderId="63" xfId="0" applyNumberFormat="1" applyFont="1" applyFill="1" applyBorder="1" applyAlignment="1">
      <alignment horizontal="center"/>
    </xf>
    <xf numFmtId="10" fontId="5" fillId="0" borderId="12" xfId="0" applyNumberFormat="1" applyFont="1" applyBorder="1" applyAlignment="1">
      <alignment horizontal="center"/>
    </xf>
    <xf numFmtId="3" fontId="11" fillId="15" borderId="13" xfId="0" applyNumberFormat="1" applyFont="1" applyFill="1" applyBorder="1" applyAlignment="1">
      <alignment horizontal="right"/>
    </xf>
    <xf numFmtId="3" fontId="2" fillId="15" borderId="13" xfId="0" applyNumberFormat="1" applyFont="1" applyFill="1" applyBorder="1" applyAlignment="1">
      <alignment horizontal="center"/>
    </xf>
    <xf numFmtId="3" fontId="1" fillId="17" borderId="17" xfId="0" applyNumberFormat="1" applyFont="1" applyFill="1" applyBorder="1" applyAlignment="1">
      <alignment horizontal="center"/>
    </xf>
    <xf numFmtId="3" fontId="1" fillId="17" borderId="13" xfId="0" applyNumberFormat="1" applyFont="1" applyFill="1" applyBorder="1" applyAlignment="1">
      <alignment horizontal="center"/>
    </xf>
    <xf numFmtId="172" fontId="2" fillId="18" borderId="9" xfId="0" applyNumberFormat="1" applyFont="1" applyFill="1" applyBorder="1" applyAlignment="1">
      <alignment horizontal="left"/>
    </xf>
    <xf numFmtId="3" fontId="5" fillId="16" borderId="13" xfId="0" applyNumberFormat="1" applyFont="1" applyFill="1" applyBorder="1" applyAlignment="1">
      <alignment horizontal="center"/>
    </xf>
    <xf numFmtId="3" fontId="1" fillId="16" borderId="19" xfId="0" applyNumberFormat="1" applyFont="1" applyFill="1" applyBorder="1" applyAlignment="1">
      <alignment horizontal="center"/>
    </xf>
    <xf numFmtId="3" fontId="1" fillId="16" borderId="13" xfId="0" applyNumberFormat="1" applyFont="1" applyFill="1" applyBorder="1" applyAlignment="1">
      <alignment horizontal="center"/>
    </xf>
    <xf numFmtId="3" fontId="5" fillId="16" borderId="19" xfId="0" applyNumberFormat="1" applyFont="1" applyFill="1" applyBorder="1" applyAlignment="1">
      <alignment horizontal="center"/>
    </xf>
    <xf numFmtId="4" fontId="5" fillId="0" borderId="11" xfId="0" applyNumberFormat="1" applyFont="1" applyBorder="1" applyAlignment="1">
      <alignment horizontal="center"/>
    </xf>
    <xf numFmtId="10" fontId="27" fillId="0" borderId="11" xfId="0" applyNumberFormat="1" applyFont="1" applyBorder="1" applyAlignment="1">
      <alignment horizontal="center"/>
    </xf>
    <xf numFmtId="10" fontId="5" fillId="0" borderId="17" xfId="0" applyNumberFormat="1" applyFont="1" applyBorder="1" applyAlignment="1">
      <alignment horizontal="center"/>
    </xf>
    <xf numFmtId="10" fontId="5" fillId="0" borderId="13" xfId="0" applyNumberFormat="1" applyFont="1" applyBorder="1" applyAlignment="1">
      <alignment horizontal="center"/>
    </xf>
    <xf numFmtId="0" fontId="1" fillId="11" borderId="59" xfId="0" applyFont="1" applyFill="1" applyBorder="1" applyAlignment="1">
      <alignment horizontal="center"/>
    </xf>
    <xf numFmtId="3" fontId="1" fillId="2" borderId="67" xfId="0" applyNumberFormat="1" applyFont="1" applyFill="1" applyBorder="1" applyAlignment="1">
      <alignment horizontal="center"/>
    </xf>
    <xf numFmtId="3" fontId="1" fillId="0" borderId="67" xfId="0" applyNumberFormat="1" applyFont="1" applyBorder="1" applyAlignment="1">
      <alignment horizontal="center"/>
    </xf>
    <xf numFmtId="4" fontId="1" fillId="0" borderId="43" xfId="0" applyNumberFormat="1" applyFont="1" applyBorder="1" applyAlignment="1">
      <alignment horizontal="center"/>
    </xf>
    <xf numFmtId="0" fontId="12" fillId="0" borderId="0" xfId="0" applyFont="1"/>
    <xf numFmtId="4" fontId="1" fillId="2" borderId="35" xfId="0" applyNumberFormat="1" applyFont="1" applyFill="1" applyBorder="1" applyAlignment="1">
      <alignment horizontal="center"/>
    </xf>
    <xf numFmtId="4" fontId="1" fillId="2" borderId="36" xfId="0" applyNumberFormat="1" applyFont="1" applyFill="1" applyBorder="1" applyAlignment="1">
      <alignment horizontal="center"/>
    </xf>
    <xf numFmtId="4" fontId="5" fillId="13" borderId="41" xfId="0" applyNumberFormat="1" applyFont="1" applyFill="1" applyBorder="1" applyAlignment="1">
      <alignment horizontal="center"/>
    </xf>
    <xf numFmtId="3" fontId="1" fillId="10" borderId="9" xfId="0" applyNumberFormat="1" applyFont="1" applyFill="1" applyBorder="1" applyAlignment="1">
      <alignment horizontal="center"/>
    </xf>
    <xf numFmtId="10" fontId="1" fillId="10" borderId="9" xfId="0" applyNumberFormat="1" applyFont="1" applyFill="1" applyBorder="1" applyAlignment="1">
      <alignment horizontal="center"/>
    </xf>
    <xf numFmtId="3" fontId="1" fillId="11" borderId="33" xfId="0" applyNumberFormat="1" applyFont="1" applyFill="1" applyBorder="1" applyAlignment="1">
      <alignment horizontal="center"/>
    </xf>
    <xf numFmtId="3" fontId="1" fillId="2" borderId="68" xfId="0" applyNumberFormat="1" applyFont="1" applyFill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5" fillId="0" borderId="11" xfId="0" applyFont="1" applyBorder="1" applyAlignment="1">
      <alignment horizontal="left"/>
    </xf>
    <xf numFmtId="0" fontId="5" fillId="0" borderId="41" xfId="0" applyFont="1" applyBorder="1" applyAlignment="1">
      <alignment horizontal="center"/>
    </xf>
    <xf numFmtId="4" fontId="5" fillId="0" borderId="42" xfId="0" applyNumberFormat="1" applyFont="1" applyBorder="1" applyAlignment="1">
      <alignment horizontal="center"/>
    </xf>
    <xf numFmtId="10" fontId="1" fillId="0" borderId="72" xfId="0" applyNumberFormat="1" applyFont="1" applyBorder="1" applyAlignment="1">
      <alignment horizontal="center"/>
    </xf>
    <xf numFmtId="10" fontId="1" fillId="0" borderId="73" xfId="0" applyNumberFormat="1" applyFont="1" applyBorder="1" applyAlignment="1">
      <alignment horizontal="center"/>
    </xf>
    <xf numFmtId="166" fontId="1" fillId="0" borderId="73" xfId="0" applyNumberFormat="1" applyFont="1" applyBorder="1" applyAlignment="1">
      <alignment horizontal="center"/>
    </xf>
    <xf numFmtId="4" fontId="1" fillId="0" borderId="74" xfId="0" applyNumberFormat="1" applyFont="1" applyBorder="1" applyAlignment="1">
      <alignment horizontal="center"/>
    </xf>
    <xf numFmtId="3" fontId="5" fillId="0" borderId="41" xfId="0" applyNumberFormat="1" applyFont="1" applyBorder="1"/>
    <xf numFmtId="10" fontId="5" fillId="0" borderId="41" xfId="0" applyNumberFormat="1" applyFont="1" applyBorder="1" applyAlignment="1">
      <alignment horizontal="center"/>
    </xf>
    <xf numFmtId="3" fontId="1" fillId="0" borderId="41" xfId="0" applyNumberFormat="1" applyFont="1" applyBorder="1"/>
    <xf numFmtId="0" fontId="15" fillId="0" borderId="9" xfId="0" applyFont="1" applyBorder="1" applyAlignment="1">
      <alignment horizontal="left"/>
    </xf>
    <xf numFmtId="0" fontId="1" fillId="0" borderId="16" xfId="0" applyFont="1" applyBorder="1" applyAlignment="1">
      <alignment horizontal="center"/>
    </xf>
    <xf numFmtId="3" fontId="1" fillId="0" borderId="41" xfId="0" applyNumberFormat="1" applyFont="1" applyBorder="1" applyAlignment="1">
      <alignment horizontal="center"/>
    </xf>
    <xf numFmtId="179" fontId="5" fillId="0" borderId="0" xfId="0" applyNumberFormat="1" applyFont="1" applyAlignment="1">
      <alignment horizontal="left"/>
    </xf>
    <xf numFmtId="3" fontId="1" fillId="0" borderId="20" xfId="0" applyNumberFormat="1" applyFont="1" applyBorder="1" applyAlignment="1">
      <alignment horizontal="center"/>
    </xf>
    <xf numFmtId="3" fontId="7" fillId="0" borderId="41" xfId="0" applyNumberFormat="1" applyFont="1" applyBorder="1"/>
    <xf numFmtId="10" fontId="1" fillId="0" borderId="32" xfId="0" applyNumberFormat="1" applyFont="1" applyBorder="1" applyAlignment="1">
      <alignment horizontal="center"/>
    </xf>
    <xf numFmtId="10" fontId="1" fillId="0" borderId="34" xfId="0" applyNumberFormat="1" applyFont="1" applyBorder="1" applyAlignment="1">
      <alignment horizontal="center"/>
    </xf>
    <xf numFmtId="10" fontId="1" fillId="0" borderId="23" xfId="0" applyNumberFormat="1" applyFont="1" applyBorder="1" applyAlignment="1">
      <alignment horizontal="center"/>
    </xf>
    <xf numFmtId="10" fontId="2" fillId="15" borderId="13" xfId="0" applyNumberFormat="1" applyFont="1" applyFill="1" applyBorder="1" applyAlignment="1">
      <alignment horizontal="center"/>
    </xf>
    <xf numFmtId="38" fontId="2" fillId="15" borderId="19" xfId="0" applyNumberFormat="1" applyFont="1" applyFill="1" applyBorder="1" applyAlignment="1">
      <alignment horizontal="center"/>
    </xf>
    <xf numFmtId="175" fontId="2" fillId="20" borderId="13" xfId="0" applyNumberFormat="1" applyFont="1" applyFill="1" applyBorder="1" applyAlignment="1">
      <alignment horizontal="center"/>
    </xf>
    <xf numFmtId="10" fontId="1" fillId="0" borderId="75" xfId="0" applyNumberFormat="1" applyFont="1" applyBorder="1" applyAlignment="1">
      <alignment horizontal="center"/>
    </xf>
    <xf numFmtId="0" fontId="12" fillId="0" borderId="9" xfId="0" applyFont="1" applyBorder="1" applyAlignment="1">
      <alignment horizontal="right"/>
    </xf>
    <xf numFmtId="0" fontId="3" fillId="0" borderId="49" xfId="0" applyFont="1" applyBorder="1" applyAlignment="1">
      <alignment horizontal="center"/>
    </xf>
    <xf numFmtId="10" fontId="1" fillId="0" borderId="43" xfId="0" applyNumberFormat="1" applyFont="1" applyBorder="1" applyAlignment="1">
      <alignment horizontal="center"/>
    </xf>
    <xf numFmtId="10" fontId="1" fillId="0" borderId="63" xfId="0" applyNumberFormat="1" applyFont="1" applyBorder="1" applyAlignment="1">
      <alignment horizontal="center"/>
    </xf>
    <xf numFmtId="3" fontId="2" fillId="9" borderId="73" xfId="0" applyNumberFormat="1" applyFont="1" applyFill="1" applyBorder="1" applyAlignment="1">
      <alignment horizontal="center"/>
    </xf>
    <xf numFmtId="3" fontId="1" fillId="0" borderId="73" xfId="0" applyNumberFormat="1" applyFont="1" applyBorder="1" applyAlignment="1">
      <alignment horizontal="center"/>
    </xf>
    <xf numFmtId="3" fontId="1" fillId="0" borderId="76" xfId="0" applyNumberFormat="1" applyFont="1" applyBorder="1" applyAlignment="1">
      <alignment horizontal="center"/>
    </xf>
    <xf numFmtId="10" fontId="1" fillId="0" borderId="62" xfId="0" applyNumberFormat="1" applyFont="1" applyBorder="1" applyAlignment="1">
      <alignment horizontal="center"/>
    </xf>
    <xf numFmtId="3" fontId="2" fillId="9" borderId="75" xfId="0" applyNumberFormat="1" applyFont="1" applyFill="1" applyBorder="1" applyAlignment="1">
      <alignment horizontal="center"/>
    </xf>
    <xf numFmtId="3" fontId="11" fillId="9" borderId="73" xfId="0" applyNumberFormat="1" applyFont="1" applyFill="1" applyBorder="1" applyAlignment="1">
      <alignment horizontal="right"/>
    </xf>
    <xf numFmtId="0" fontId="19" fillId="0" borderId="77" xfId="0" applyFont="1" applyBorder="1" applyAlignment="1">
      <alignment horizontal="center" wrapText="1"/>
    </xf>
    <xf numFmtId="3" fontId="1" fillId="13" borderId="13" xfId="0" applyNumberFormat="1" applyFont="1" applyFill="1" applyBorder="1" applyAlignment="1">
      <alignment horizontal="center"/>
    </xf>
    <xf numFmtId="3" fontId="1" fillId="13" borderId="73" xfId="0" applyNumberFormat="1" applyFont="1" applyFill="1" applyBorder="1" applyAlignment="1">
      <alignment horizontal="center"/>
    </xf>
    <xf numFmtId="4" fontId="3" fillId="2" borderId="78" xfId="0" applyNumberFormat="1" applyFont="1" applyFill="1" applyBorder="1" applyAlignment="1">
      <alignment horizontal="right"/>
    </xf>
    <xf numFmtId="0" fontId="5" fillId="0" borderId="79" xfId="0" applyFont="1" applyBorder="1"/>
    <xf numFmtId="0" fontId="5" fillId="0" borderId="80" xfId="0" applyFont="1" applyBorder="1"/>
    <xf numFmtId="10" fontId="1" fillId="10" borderId="16" xfId="0" applyNumberFormat="1" applyFont="1" applyFill="1" applyBorder="1" applyAlignment="1">
      <alignment horizontal="center"/>
    </xf>
    <xf numFmtId="10" fontId="1" fillId="2" borderId="16" xfId="0" applyNumberFormat="1" applyFont="1" applyFill="1" applyBorder="1" applyAlignment="1">
      <alignment horizontal="center"/>
    </xf>
    <xf numFmtId="3" fontId="5" fillId="0" borderId="13" xfId="0" applyNumberFormat="1" applyFont="1" applyBorder="1" applyAlignment="1">
      <alignment horizontal="center"/>
    </xf>
    <xf numFmtId="9" fontId="2" fillId="0" borderId="16" xfId="0" applyNumberFormat="1" applyFont="1" applyBorder="1" applyAlignment="1">
      <alignment horizontal="center"/>
    </xf>
    <xf numFmtId="10" fontId="7" fillId="0" borderId="17" xfId="0" applyNumberFormat="1" applyFont="1" applyBorder="1" applyAlignment="1">
      <alignment horizontal="center"/>
    </xf>
    <xf numFmtId="3" fontId="1" fillId="0" borderId="19" xfId="0" applyNumberFormat="1" applyFont="1" applyBorder="1" applyAlignment="1">
      <alignment horizontal="center"/>
    </xf>
    <xf numFmtId="3" fontId="5" fillId="0" borderId="19" xfId="0" applyNumberFormat="1" applyFont="1" applyBorder="1" applyAlignment="1">
      <alignment horizontal="center"/>
    </xf>
    <xf numFmtId="10" fontId="7" fillId="0" borderId="13" xfId="0" applyNumberFormat="1" applyFont="1" applyBorder="1" applyAlignment="1">
      <alignment horizontal="center"/>
    </xf>
    <xf numFmtId="0" fontId="15" fillId="21" borderId="9" xfId="0" applyFont="1" applyFill="1" applyBorder="1" applyAlignment="1">
      <alignment horizontal="center"/>
    </xf>
    <xf numFmtId="0" fontId="28" fillId="0" borderId="9" xfId="2" applyBorder="1"/>
    <xf numFmtId="0" fontId="14" fillId="0" borderId="2" xfId="0" applyFont="1" applyBorder="1" applyAlignment="1">
      <alignment horizontal="left"/>
    </xf>
    <xf numFmtId="0" fontId="14" fillId="0" borderId="11" xfId="0" applyFont="1" applyBorder="1" applyAlignment="1">
      <alignment horizontal="left"/>
    </xf>
    <xf numFmtId="180" fontId="2" fillId="8" borderId="46" xfId="0" applyNumberFormat="1" applyFont="1" applyFill="1" applyBorder="1" applyAlignment="1">
      <alignment horizontal="center"/>
    </xf>
    <xf numFmtId="164" fontId="7" fillId="0" borderId="81" xfId="0" applyNumberFormat="1" applyFont="1" applyBorder="1" applyAlignment="1">
      <alignment horizontal="center"/>
    </xf>
    <xf numFmtId="177" fontId="2" fillId="8" borderId="53" xfId="0" applyNumberFormat="1" applyFont="1" applyFill="1" applyBorder="1" applyAlignment="1">
      <alignment horizontal="center"/>
    </xf>
    <xf numFmtId="3" fontId="11" fillId="15" borderId="13" xfId="0" quotePrefix="1" applyNumberFormat="1" applyFont="1" applyFill="1" applyBorder="1" applyAlignment="1">
      <alignment horizontal="right"/>
    </xf>
    <xf numFmtId="3" fontId="2" fillId="8" borderId="17" xfId="0" applyNumberFormat="1" applyFont="1" applyFill="1" applyBorder="1"/>
    <xf numFmtId="0" fontId="15" fillId="0" borderId="0" xfId="0" applyFont="1" applyAlignment="1">
      <alignment horizontal="center"/>
    </xf>
    <xf numFmtId="3" fontId="2" fillId="8" borderId="17" xfId="0" applyNumberFormat="1" applyFont="1" applyFill="1" applyBorder="1" applyAlignment="1">
      <alignment horizontal="center"/>
    </xf>
    <xf numFmtId="3" fontId="7" fillId="0" borderId="13" xfId="0" applyNumberFormat="1" applyFont="1" applyBorder="1" applyAlignment="1">
      <alignment horizontal="right"/>
    </xf>
    <xf numFmtId="177" fontId="15" fillId="7" borderId="2" xfId="0" applyNumberFormat="1" applyFont="1" applyFill="1" applyBorder="1" applyAlignment="1">
      <alignment horizontal="center"/>
    </xf>
    <xf numFmtId="177" fontId="18" fillId="4" borderId="5" xfId="0" applyNumberFormat="1" applyFont="1" applyFill="1" applyBorder="1" applyAlignment="1">
      <alignment horizontal="center"/>
    </xf>
    <xf numFmtId="177" fontId="18" fillId="4" borderId="22" xfId="0" applyNumberFormat="1" applyFont="1" applyFill="1" applyBorder="1" applyAlignment="1">
      <alignment horizontal="center"/>
    </xf>
    <xf numFmtId="175" fontId="7" fillId="0" borderId="19" xfId="0" applyNumberFormat="1" applyFont="1" applyBorder="1" applyAlignment="1">
      <alignment horizontal="center"/>
    </xf>
    <xf numFmtId="0" fontId="15" fillId="0" borderId="2" xfId="0" applyFont="1" applyBorder="1" applyAlignment="1">
      <alignment horizontal="center"/>
    </xf>
    <xf numFmtId="9" fontId="2" fillId="0" borderId="76" xfId="0" applyNumberFormat="1" applyFont="1" applyBorder="1" applyAlignment="1">
      <alignment horizontal="center"/>
    </xf>
    <xf numFmtId="3" fontId="5" fillId="0" borderId="73" xfId="0" applyNumberFormat="1" applyFont="1" applyBorder="1" applyAlignment="1">
      <alignment horizontal="center"/>
    </xf>
    <xf numFmtId="10" fontId="1" fillId="0" borderId="56" xfId="0" applyNumberFormat="1" applyFont="1" applyBorder="1" applyAlignment="1">
      <alignment horizontal="center"/>
    </xf>
    <xf numFmtId="181" fontId="27" fillId="0" borderId="9" xfId="0" applyNumberFormat="1" applyFont="1" applyBorder="1" applyAlignment="1">
      <alignment horizontal="center"/>
    </xf>
    <xf numFmtId="0" fontId="2" fillId="8" borderId="43" xfId="0" applyFont="1" applyFill="1" applyBorder="1" applyAlignment="1">
      <alignment horizontal="center"/>
    </xf>
    <xf numFmtId="0" fontId="15" fillId="0" borderId="0" xfId="0" applyFont="1"/>
    <xf numFmtId="0" fontId="29" fillId="0" borderId="9" xfId="0" applyFont="1" applyBorder="1" applyAlignment="1">
      <alignment horizontal="right"/>
    </xf>
    <xf numFmtId="3" fontId="2" fillId="8" borderId="16" xfId="0" applyNumberFormat="1" applyFont="1" applyFill="1" applyBorder="1" applyAlignment="1">
      <alignment horizontal="right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177" fontId="15" fillId="7" borderId="83" xfId="0" applyNumberFormat="1" applyFont="1" applyFill="1" applyBorder="1" applyAlignment="1">
      <alignment horizontal="center"/>
    </xf>
    <xf numFmtId="173" fontId="2" fillId="8" borderId="41" xfId="0" applyNumberFormat="1" applyFont="1" applyFill="1" applyBorder="1" applyAlignment="1">
      <alignment horizontal="center"/>
    </xf>
    <xf numFmtId="0" fontId="12" fillId="0" borderId="2" xfId="0" applyFont="1" applyBorder="1" applyAlignment="1">
      <alignment horizontal="center"/>
    </xf>
    <xf numFmtId="10" fontId="2" fillId="8" borderId="18" xfId="0" applyNumberFormat="1" applyFont="1" applyFill="1" applyBorder="1" applyAlignment="1">
      <alignment horizontal="center"/>
    </xf>
    <xf numFmtId="0" fontId="12" fillId="0" borderId="11" xfId="0" applyFont="1" applyBorder="1" applyAlignment="1">
      <alignment horizontal="center"/>
    </xf>
    <xf numFmtId="3" fontId="30" fillId="10" borderId="9" xfId="0" applyNumberFormat="1" applyFont="1" applyFill="1" applyBorder="1" applyAlignment="1">
      <alignment horizontal="center"/>
    </xf>
    <xf numFmtId="0" fontId="15" fillId="22" borderId="11" xfId="0" applyFont="1" applyFill="1" applyBorder="1" applyAlignment="1">
      <alignment horizontal="center"/>
    </xf>
    <xf numFmtId="4" fontId="1" fillId="2" borderId="43" xfId="0" applyNumberFormat="1" applyFont="1" applyFill="1" applyBorder="1" applyAlignment="1">
      <alignment horizontal="center"/>
    </xf>
    <xf numFmtId="0" fontId="3" fillId="0" borderId="2" xfId="0" applyFont="1" applyBorder="1"/>
    <xf numFmtId="10" fontId="2" fillId="15" borderId="68" xfId="0" applyNumberFormat="1" applyFont="1" applyFill="1" applyBorder="1" applyAlignment="1">
      <alignment horizontal="center"/>
    </xf>
    <xf numFmtId="3" fontId="2" fillId="8" borderId="66" xfId="0" applyNumberFormat="1" applyFont="1" applyFill="1" applyBorder="1" applyAlignment="1">
      <alignment horizontal="center"/>
    </xf>
    <xf numFmtId="3" fontId="2" fillId="15" borderId="66" xfId="0" applyNumberFormat="1" applyFont="1" applyFill="1" applyBorder="1" applyAlignment="1">
      <alignment horizontal="center"/>
    </xf>
    <xf numFmtId="0" fontId="1" fillId="0" borderId="33" xfId="0" quotePrefix="1" applyFont="1" applyBorder="1" applyAlignment="1">
      <alignment horizontal="left"/>
    </xf>
    <xf numFmtId="0" fontId="1" fillId="0" borderId="84" xfId="0" applyFont="1" applyBorder="1" applyAlignment="1">
      <alignment horizontal="right"/>
    </xf>
    <xf numFmtId="173" fontId="2" fillId="8" borderId="43" xfId="0" applyNumberFormat="1" applyFont="1" applyFill="1" applyBorder="1" applyAlignment="1">
      <alignment horizontal="center"/>
    </xf>
    <xf numFmtId="0" fontId="8" fillId="0" borderId="67" xfId="0" applyFont="1" applyBorder="1" applyAlignment="1">
      <alignment horizontal="right"/>
    </xf>
    <xf numFmtId="10" fontId="2" fillId="19" borderId="67" xfId="0" applyNumberFormat="1" applyFont="1" applyFill="1" applyBorder="1" applyAlignment="1">
      <alignment horizontal="center"/>
    </xf>
    <xf numFmtId="10" fontId="7" fillId="0" borderId="67" xfId="0" applyNumberFormat="1" applyFont="1" applyBorder="1" applyAlignment="1">
      <alignment horizontal="center"/>
    </xf>
    <xf numFmtId="10" fontId="1" fillId="0" borderId="67" xfId="0" applyNumberFormat="1" applyFont="1" applyBorder="1" applyAlignment="1">
      <alignment horizontal="center"/>
    </xf>
    <xf numFmtId="3" fontId="1" fillId="13" borderId="88" xfId="0" applyNumberFormat="1" applyFont="1" applyFill="1" applyBorder="1" applyAlignment="1">
      <alignment horizontal="center"/>
    </xf>
    <xf numFmtId="3" fontId="1" fillId="0" borderId="88" xfId="0" applyNumberFormat="1" applyFont="1" applyBorder="1" applyAlignment="1">
      <alignment horizontal="center"/>
    </xf>
    <xf numFmtId="0" fontId="1" fillId="0" borderId="43" xfId="0" applyFont="1" applyBorder="1"/>
    <xf numFmtId="3" fontId="1" fillId="0" borderId="43" xfId="0" applyNumberFormat="1" applyFont="1" applyBorder="1" applyAlignment="1">
      <alignment horizontal="center"/>
    </xf>
    <xf numFmtId="3" fontId="1" fillId="2" borderId="43" xfId="0" applyNumberFormat="1" applyFont="1" applyFill="1" applyBorder="1" applyAlignment="1">
      <alignment horizontal="center"/>
    </xf>
    <xf numFmtId="0" fontId="8" fillId="0" borderId="70" xfId="0" applyFont="1" applyBorder="1" applyAlignment="1">
      <alignment horizontal="right"/>
    </xf>
    <xf numFmtId="10" fontId="1" fillId="0" borderId="70" xfId="0" applyNumberFormat="1" applyFont="1" applyBorder="1" applyAlignment="1">
      <alignment horizontal="center"/>
    </xf>
    <xf numFmtId="10" fontId="7" fillId="0" borderId="70" xfId="0" applyNumberFormat="1" applyFont="1" applyBorder="1" applyAlignment="1">
      <alignment horizontal="center"/>
    </xf>
    <xf numFmtId="10" fontId="7" fillId="0" borderId="75" xfId="0" applyNumberFormat="1" applyFont="1" applyBorder="1" applyAlignment="1">
      <alignment horizontal="center"/>
    </xf>
    <xf numFmtId="3" fontId="1" fillId="0" borderId="74" xfId="0" applyNumberFormat="1" applyFont="1" applyBorder="1" applyAlignment="1">
      <alignment horizontal="center"/>
    </xf>
    <xf numFmtId="10" fontId="5" fillId="0" borderId="75" xfId="0" applyNumberFormat="1" applyFont="1" applyBorder="1" applyAlignment="1">
      <alignment horizontal="center"/>
    </xf>
    <xf numFmtId="10" fontId="5" fillId="0" borderId="73" xfId="0" applyNumberFormat="1" applyFont="1" applyBorder="1" applyAlignment="1">
      <alignment horizontal="center"/>
    </xf>
    <xf numFmtId="3" fontId="5" fillId="0" borderId="74" xfId="0" applyNumberFormat="1" applyFont="1" applyBorder="1" applyAlignment="1">
      <alignment horizontal="center"/>
    </xf>
    <xf numFmtId="10" fontId="7" fillId="0" borderId="73" xfId="0" applyNumberFormat="1" applyFont="1" applyBorder="1" applyAlignment="1">
      <alignment horizontal="center"/>
    </xf>
    <xf numFmtId="3" fontId="1" fillId="0" borderId="89" xfId="0" applyNumberFormat="1" applyFont="1" applyBorder="1" applyAlignment="1">
      <alignment horizontal="center"/>
    </xf>
    <xf numFmtId="10" fontId="1" fillId="0" borderId="61" xfId="0" applyNumberFormat="1" applyFont="1" applyBorder="1" applyAlignment="1">
      <alignment horizontal="center"/>
    </xf>
    <xf numFmtId="10" fontId="1" fillId="0" borderId="82" xfId="0" applyNumberFormat="1" applyFont="1" applyBorder="1" applyAlignment="1">
      <alignment horizontal="center"/>
    </xf>
    <xf numFmtId="3" fontId="1" fillId="0" borderId="63" xfId="0" applyNumberFormat="1" applyFont="1" applyBorder="1" applyAlignment="1">
      <alignment horizontal="center"/>
    </xf>
    <xf numFmtId="3" fontId="2" fillId="16" borderId="13" xfId="0" applyNumberFormat="1" applyFont="1" applyFill="1" applyBorder="1" applyAlignment="1">
      <alignment horizontal="center"/>
    </xf>
    <xf numFmtId="0" fontId="7" fillId="0" borderId="9" xfId="0" applyFont="1" applyBorder="1"/>
    <xf numFmtId="0" fontId="1" fillId="0" borderId="90" xfId="0" applyFont="1" applyBorder="1" applyAlignment="1">
      <alignment horizontal="center"/>
    </xf>
    <xf numFmtId="0" fontId="7" fillId="0" borderId="91" xfId="0" applyFont="1" applyBorder="1" applyAlignment="1">
      <alignment horizontal="center"/>
    </xf>
    <xf numFmtId="0" fontId="2" fillId="9" borderId="92" xfId="0" applyFont="1" applyFill="1" applyBorder="1" applyAlignment="1">
      <alignment horizontal="center"/>
    </xf>
    <xf numFmtId="3" fontId="1" fillId="0" borderId="93" xfId="0" applyNumberFormat="1" applyFont="1" applyBorder="1" applyAlignment="1">
      <alignment horizontal="center"/>
    </xf>
    <xf numFmtId="0" fontId="15" fillId="0" borderId="11" xfId="0" applyFont="1" applyBorder="1"/>
    <xf numFmtId="10" fontId="7" fillId="0" borderId="43" xfId="0" applyNumberFormat="1" applyFont="1" applyBorder="1" applyAlignment="1">
      <alignment horizontal="center"/>
    </xf>
    <xf numFmtId="10" fontId="7" fillId="0" borderId="63" xfId="0" applyNumberFormat="1" applyFont="1" applyBorder="1" applyAlignment="1">
      <alignment horizontal="center"/>
    </xf>
    <xf numFmtId="177" fontId="18" fillId="0" borderId="9" xfId="0" applyNumberFormat="1" applyFont="1" applyBorder="1" applyAlignment="1">
      <alignment horizontal="center"/>
    </xf>
    <xf numFmtId="182" fontId="27" fillId="0" borderId="11" xfId="0" applyNumberFormat="1" applyFont="1" applyBorder="1" applyAlignment="1">
      <alignment horizontal="center"/>
    </xf>
    <xf numFmtId="3" fontId="7" fillId="0" borderId="9" xfId="0" applyNumberFormat="1" applyFont="1" applyBorder="1"/>
    <xf numFmtId="183" fontId="18" fillId="0" borderId="9" xfId="0" applyNumberFormat="1" applyFont="1" applyBorder="1" applyAlignment="1">
      <alignment horizontal="center"/>
    </xf>
    <xf numFmtId="10" fontId="18" fillId="0" borderId="0" xfId="0" applyNumberFormat="1" applyFont="1"/>
    <xf numFmtId="10" fontId="5" fillId="13" borderId="41" xfId="0" applyNumberFormat="1" applyFont="1" applyFill="1" applyBorder="1" applyAlignment="1">
      <alignment horizontal="center"/>
    </xf>
    <xf numFmtId="4" fontId="7" fillId="0" borderId="41" xfId="0" applyNumberFormat="1" applyFont="1" applyBorder="1" applyAlignment="1">
      <alignment horizontal="center"/>
    </xf>
    <xf numFmtId="10" fontId="7" fillId="0" borderId="41" xfId="0" applyNumberFormat="1" applyFont="1" applyBorder="1" applyAlignment="1">
      <alignment horizontal="center"/>
    </xf>
    <xf numFmtId="0" fontId="7" fillId="0" borderId="0" xfId="0" applyFont="1" applyAlignment="1">
      <alignment horizontal="center"/>
    </xf>
    <xf numFmtId="0" fontId="2" fillId="0" borderId="56" xfId="0" applyFont="1" applyBorder="1"/>
    <xf numFmtId="10" fontId="2" fillId="8" borderId="41" xfId="0" applyNumberFormat="1" applyFont="1" applyFill="1" applyBorder="1" applyAlignment="1">
      <alignment horizontal="center"/>
    </xf>
    <xf numFmtId="0" fontId="5" fillId="0" borderId="55" xfId="0" applyFont="1" applyBorder="1"/>
    <xf numFmtId="3" fontId="1" fillId="0" borderId="95" xfId="0" applyNumberFormat="1" applyFont="1" applyBorder="1" applyAlignment="1">
      <alignment horizontal="left"/>
    </xf>
    <xf numFmtId="4" fontId="4" fillId="8" borderId="96" xfId="0" applyNumberFormat="1" applyFont="1" applyFill="1" applyBorder="1" applyAlignment="1">
      <alignment horizontal="right"/>
    </xf>
    <xf numFmtId="4" fontId="1" fillId="11" borderId="2" xfId="0" applyNumberFormat="1" applyFont="1" applyFill="1" applyBorder="1" applyAlignment="1">
      <alignment horizontal="center"/>
    </xf>
    <xf numFmtId="0" fontId="5" fillId="0" borderId="11" xfId="0" applyFont="1" applyBorder="1" applyAlignment="1">
      <alignment horizontal="center"/>
    </xf>
    <xf numFmtId="10" fontId="1" fillId="0" borderId="46" xfId="0" applyNumberFormat="1" applyFont="1" applyBorder="1" applyAlignment="1">
      <alignment horizontal="center"/>
    </xf>
    <xf numFmtId="4" fontId="5" fillId="0" borderId="71" xfId="0" applyNumberFormat="1" applyFont="1" applyBorder="1" applyAlignment="1">
      <alignment horizontal="center"/>
    </xf>
    <xf numFmtId="4" fontId="5" fillId="0" borderId="52" xfId="0" applyNumberFormat="1" applyFont="1" applyBorder="1" applyAlignment="1">
      <alignment horizontal="center"/>
    </xf>
    <xf numFmtId="4" fontId="5" fillId="0" borderId="97" xfId="0" applyNumberFormat="1" applyFont="1" applyBorder="1" applyAlignment="1">
      <alignment horizontal="center"/>
    </xf>
    <xf numFmtId="0" fontId="15" fillId="21" borderId="98" xfId="0" applyFont="1" applyFill="1" applyBorder="1" applyAlignment="1">
      <alignment horizontal="center"/>
    </xf>
    <xf numFmtId="4" fontId="5" fillId="0" borderId="99" xfId="0" applyNumberFormat="1" applyFont="1" applyBorder="1" applyAlignment="1">
      <alignment horizontal="center"/>
    </xf>
    <xf numFmtId="4" fontId="5" fillId="0" borderId="100" xfId="0" applyNumberFormat="1" applyFont="1" applyBorder="1" applyAlignment="1">
      <alignment horizontal="center"/>
    </xf>
    <xf numFmtId="0" fontId="15" fillId="0" borderId="11" xfId="0" applyFont="1" applyBorder="1" applyAlignment="1">
      <alignment horizontal="left"/>
    </xf>
    <xf numFmtId="4" fontId="27" fillId="0" borderId="96" xfId="0" applyNumberFormat="1" applyFont="1" applyBorder="1" applyAlignment="1">
      <alignment horizontal="right"/>
    </xf>
    <xf numFmtId="0" fontId="16" fillId="0" borderId="9" xfId="0" applyFont="1" applyBorder="1"/>
    <xf numFmtId="0" fontId="7" fillId="0" borderId="55" xfId="0" applyFont="1" applyBorder="1" applyAlignment="1">
      <alignment horizontal="left"/>
    </xf>
    <xf numFmtId="10" fontId="5" fillId="0" borderId="102" xfId="0" applyNumberFormat="1" applyFont="1" applyBorder="1" applyAlignment="1">
      <alignment horizontal="center"/>
    </xf>
    <xf numFmtId="10" fontId="15" fillId="0" borderId="104" xfId="0" applyNumberFormat="1" applyFont="1" applyBorder="1" applyAlignment="1">
      <alignment horizontal="center"/>
    </xf>
    <xf numFmtId="4" fontId="5" fillId="0" borderId="61" xfId="0" applyNumberFormat="1" applyFont="1" applyBorder="1" applyAlignment="1">
      <alignment horizontal="center"/>
    </xf>
    <xf numFmtId="4" fontId="5" fillId="0" borderId="62" xfId="0" applyNumberFormat="1" applyFont="1" applyBorder="1" applyAlignment="1">
      <alignment horizontal="center"/>
    </xf>
    <xf numFmtId="4" fontId="5" fillId="0" borderId="63" xfId="0" applyNumberFormat="1" applyFont="1" applyBorder="1" applyAlignment="1">
      <alignment horizontal="center"/>
    </xf>
    <xf numFmtId="2" fontId="7" fillId="0" borderId="13" xfId="0" applyNumberFormat="1" applyFont="1" applyBorder="1" applyAlignment="1">
      <alignment horizontal="center"/>
    </xf>
    <xf numFmtId="10" fontId="7" fillId="0" borderId="11" xfId="0" applyNumberFormat="1" applyFont="1" applyBorder="1" applyAlignment="1">
      <alignment horizontal="left"/>
    </xf>
    <xf numFmtId="10" fontId="5" fillId="0" borderId="0" xfId="0" applyNumberFormat="1" applyFont="1"/>
    <xf numFmtId="0" fontId="24" fillId="0" borderId="0" xfId="0" applyFont="1"/>
    <xf numFmtId="0" fontId="1" fillId="0" borderId="11" xfId="0" applyFont="1" applyBorder="1" applyAlignment="1">
      <alignment horizontal="center" vertical="center"/>
    </xf>
    <xf numFmtId="4" fontId="1" fillId="0" borderId="9" xfId="0" applyNumberFormat="1" applyFont="1" applyBorder="1" applyAlignment="1">
      <alignment horizontal="center"/>
    </xf>
    <xf numFmtId="10" fontId="1" fillId="0" borderId="105" xfId="0" applyNumberFormat="1" applyFont="1" applyBorder="1" applyAlignment="1">
      <alignment horizontal="center"/>
    </xf>
    <xf numFmtId="2" fontId="1" fillId="0" borderId="105" xfId="0" applyNumberFormat="1" applyFont="1" applyBorder="1" applyAlignment="1">
      <alignment horizontal="center"/>
    </xf>
    <xf numFmtId="10" fontId="1" fillId="0" borderId="114" xfId="0" applyNumberFormat="1" applyFont="1" applyBorder="1" applyAlignment="1">
      <alignment horizontal="center"/>
    </xf>
    <xf numFmtId="10" fontId="1" fillId="0" borderId="115" xfId="0" applyNumberFormat="1" applyFont="1" applyBorder="1" applyAlignment="1">
      <alignment horizontal="center"/>
    </xf>
    <xf numFmtId="10" fontId="1" fillId="0" borderId="116" xfId="0" applyNumberFormat="1" applyFont="1" applyBorder="1" applyAlignment="1">
      <alignment horizontal="center"/>
    </xf>
    <xf numFmtId="0" fontId="27" fillId="0" borderId="9" xfId="0" applyFont="1" applyBorder="1" applyAlignment="1">
      <alignment horizontal="center" wrapText="1"/>
    </xf>
    <xf numFmtId="0" fontId="19" fillId="0" borderId="65" xfId="0" applyFont="1" applyBorder="1" applyAlignment="1">
      <alignment horizontal="center"/>
    </xf>
    <xf numFmtId="3" fontId="1" fillId="0" borderId="68" xfId="0" applyNumberFormat="1" applyFont="1" applyBorder="1" applyAlignment="1">
      <alignment horizontal="center"/>
    </xf>
    <xf numFmtId="0" fontId="12" fillId="0" borderId="0" xfId="0" applyFont="1" applyAlignment="1">
      <alignment horizontal="right"/>
    </xf>
    <xf numFmtId="0" fontId="5" fillId="0" borderId="33" xfId="0" quotePrefix="1" applyFont="1" applyBorder="1"/>
    <xf numFmtId="0" fontId="5" fillId="10" borderId="0" xfId="0" applyFont="1" applyFill="1"/>
    <xf numFmtId="4" fontId="5" fillId="13" borderId="101" xfId="0" applyNumberFormat="1" applyFont="1" applyFill="1" applyBorder="1" applyAlignment="1">
      <alignment horizontal="center"/>
    </xf>
    <xf numFmtId="3" fontId="7" fillId="13" borderId="66" xfId="0" applyNumberFormat="1" applyFont="1" applyFill="1" applyBorder="1" applyAlignment="1">
      <alignment horizontal="center"/>
    </xf>
    <xf numFmtId="3" fontId="7" fillId="2" borderId="66" xfId="0" applyNumberFormat="1" applyFont="1" applyFill="1" applyBorder="1" applyAlignment="1">
      <alignment horizontal="center"/>
    </xf>
    <xf numFmtId="3" fontId="2" fillId="8" borderId="16" xfId="0" applyNumberFormat="1" applyFont="1" applyFill="1" applyBorder="1" applyAlignment="1">
      <alignment horizontal="center"/>
    </xf>
    <xf numFmtId="3" fontId="2" fillId="15" borderId="16" xfId="0" applyNumberFormat="1" applyFont="1" applyFill="1" applyBorder="1" applyAlignment="1">
      <alignment horizontal="center"/>
    </xf>
    <xf numFmtId="185" fontId="1" fillId="0" borderId="32" xfId="0" applyNumberFormat="1" applyFont="1" applyBorder="1" applyAlignment="1">
      <alignment horizontal="center"/>
    </xf>
    <xf numFmtId="3" fontId="5" fillId="13" borderId="0" xfId="0" applyNumberFormat="1" applyFont="1" applyFill="1" applyAlignment="1">
      <alignment horizontal="center"/>
    </xf>
    <xf numFmtId="10" fontId="1" fillId="11" borderId="9" xfId="0" applyNumberFormat="1" applyFont="1" applyFill="1" applyBorder="1" applyAlignment="1">
      <alignment horizontal="center"/>
    </xf>
    <xf numFmtId="4" fontId="1" fillId="2" borderId="67" xfId="0" applyNumberFormat="1" applyFont="1" applyFill="1" applyBorder="1" applyAlignment="1">
      <alignment horizontal="center"/>
    </xf>
    <xf numFmtId="4" fontId="1" fillId="13" borderId="67" xfId="0" applyNumberFormat="1" applyFont="1" applyFill="1" applyBorder="1" applyAlignment="1">
      <alignment horizontal="center"/>
    </xf>
    <xf numFmtId="0" fontId="1" fillId="11" borderId="117" xfId="0" applyFont="1" applyFill="1" applyBorder="1" applyAlignment="1">
      <alignment horizontal="center"/>
    </xf>
    <xf numFmtId="4" fontId="1" fillId="0" borderId="118" xfId="0" applyNumberFormat="1" applyFont="1" applyBorder="1" applyAlignment="1">
      <alignment horizontal="center"/>
    </xf>
    <xf numFmtId="4" fontId="1" fillId="0" borderId="66" xfId="0" applyNumberFormat="1" applyFont="1" applyBorder="1" applyAlignment="1">
      <alignment horizontal="center"/>
    </xf>
    <xf numFmtId="10" fontId="1" fillId="0" borderId="119" xfId="0" applyNumberFormat="1" applyFont="1" applyBorder="1" applyAlignment="1">
      <alignment horizontal="center"/>
    </xf>
    <xf numFmtId="2" fontId="1" fillId="11" borderId="11" xfId="0" applyNumberFormat="1" applyFont="1" applyFill="1" applyBorder="1" applyAlignment="1">
      <alignment horizontal="center"/>
    </xf>
    <xf numFmtId="2" fontId="1" fillId="0" borderId="71" xfId="0" applyNumberFormat="1" applyFont="1" applyBorder="1" applyAlignment="1">
      <alignment horizontal="center"/>
    </xf>
    <xf numFmtId="10" fontId="1" fillId="0" borderId="120" xfId="0" applyNumberFormat="1" applyFont="1" applyBorder="1" applyAlignment="1">
      <alignment horizontal="center"/>
    </xf>
    <xf numFmtId="4" fontId="1" fillId="0" borderId="121" xfId="0" applyNumberFormat="1" applyFont="1" applyBorder="1" applyAlignment="1">
      <alignment horizontal="center"/>
    </xf>
    <xf numFmtId="184" fontId="1" fillId="0" borderId="43" xfId="0" applyNumberFormat="1" applyFont="1" applyBorder="1" applyAlignment="1">
      <alignment horizontal="center"/>
    </xf>
    <xf numFmtId="10" fontId="1" fillId="0" borderId="122" xfId="0" applyNumberFormat="1" applyFont="1" applyBorder="1" applyAlignment="1">
      <alignment horizontal="center"/>
    </xf>
    <xf numFmtId="4" fontId="1" fillId="10" borderId="123" xfId="0" applyNumberFormat="1" applyFont="1" applyFill="1" applyBorder="1" applyAlignment="1">
      <alignment horizontal="center"/>
    </xf>
    <xf numFmtId="3" fontId="2" fillId="8" borderId="68" xfId="0" applyNumberFormat="1" applyFont="1" applyFill="1" applyBorder="1" applyAlignment="1">
      <alignment horizontal="center"/>
    </xf>
    <xf numFmtId="3" fontId="7" fillId="0" borderId="16" xfId="0" applyNumberFormat="1" applyFont="1" applyBorder="1" applyAlignment="1">
      <alignment horizontal="center"/>
    </xf>
    <xf numFmtId="10" fontId="7" fillId="0" borderId="16" xfId="0" applyNumberFormat="1" applyFont="1" applyBorder="1" applyAlignment="1">
      <alignment horizontal="center"/>
    </xf>
    <xf numFmtId="4" fontId="5" fillId="0" borderId="125" xfId="0" applyNumberFormat="1" applyFont="1" applyBorder="1" applyAlignment="1">
      <alignment horizontal="center"/>
    </xf>
    <xf numFmtId="38" fontId="2" fillId="8" borderId="16" xfId="0" applyNumberFormat="1" applyFont="1" applyFill="1" applyBorder="1" applyAlignment="1">
      <alignment horizontal="right"/>
    </xf>
    <xf numFmtId="186" fontId="2" fillId="8" borderId="67" xfId="0" applyNumberFormat="1" applyFont="1" applyFill="1" applyBorder="1" applyAlignment="1">
      <alignment horizontal="center"/>
    </xf>
    <xf numFmtId="10" fontId="2" fillId="8" borderId="43" xfId="0" applyNumberFormat="1" applyFont="1" applyFill="1" applyBorder="1" applyAlignment="1">
      <alignment horizontal="center"/>
    </xf>
    <xf numFmtId="10" fontId="5" fillId="0" borderId="0" xfId="0" applyNumberFormat="1" applyFont="1" applyAlignment="1">
      <alignment horizontal="center"/>
    </xf>
    <xf numFmtId="0" fontId="2" fillId="9" borderId="106" xfId="0" applyFont="1" applyFill="1" applyBorder="1" applyAlignment="1">
      <alignment horizontal="center" vertical="center" wrapText="1"/>
    </xf>
    <xf numFmtId="0" fontId="2" fillId="9" borderId="107" xfId="0" applyFont="1" applyFill="1" applyBorder="1" applyAlignment="1">
      <alignment horizontal="center" vertical="center" wrapText="1"/>
    </xf>
    <xf numFmtId="0" fontId="2" fillId="9" borderId="108" xfId="0" applyFont="1" applyFill="1" applyBorder="1" applyAlignment="1">
      <alignment horizontal="center" vertical="center" wrapText="1"/>
    </xf>
    <xf numFmtId="0" fontId="2" fillId="9" borderId="109" xfId="0" applyFont="1" applyFill="1" applyBorder="1" applyAlignment="1">
      <alignment horizontal="center" vertical="center" wrapText="1"/>
    </xf>
    <xf numFmtId="0" fontId="2" fillId="9" borderId="110" xfId="0" applyFont="1" applyFill="1" applyBorder="1" applyAlignment="1">
      <alignment horizontal="center" vertical="center" wrapText="1"/>
    </xf>
    <xf numFmtId="0" fontId="2" fillId="9" borderId="11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2" fontId="7" fillId="0" borderId="13" xfId="0" applyNumberFormat="1" applyFont="1" applyBorder="1" applyAlignment="1">
      <alignment horizontal="center"/>
    </xf>
    <xf numFmtId="2" fontId="7" fillId="0" borderId="13" xfId="0" applyNumberFormat="1" applyFont="1" applyBorder="1"/>
    <xf numFmtId="2" fontId="2" fillId="9" borderId="13" xfId="0" applyNumberFormat="1" applyFont="1" applyFill="1" applyBorder="1" applyAlignment="1">
      <alignment horizontal="center"/>
    </xf>
    <xf numFmtId="2" fontId="7" fillId="8" borderId="13" xfId="0" applyNumberFormat="1" applyFont="1" applyFill="1" applyBorder="1"/>
    <xf numFmtId="0" fontId="5" fillId="0" borderId="9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171" fontId="1" fillId="0" borderId="26" xfId="0" applyNumberFormat="1" applyFont="1" applyBorder="1" applyAlignment="1">
      <alignment horizontal="center"/>
    </xf>
    <xf numFmtId="171" fontId="1" fillId="0" borderId="27" xfId="0" applyNumberFormat="1" applyFont="1" applyBorder="1" applyAlignment="1">
      <alignment horizontal="center"/>
    </xf>
    <xf numFmtId="6" fontId="3" fillId="0" borderId="44" xfId="0" applyNumberFormat="1" applyFont="1" applyBorder="1" applyAlignment="1">
      <alignment horizontal="center"/>
    </xf>
    <xf numFmtId="6" fontId="3" fillId="0" borderId="45" xfId="0" applyNumberFormat="1" applyFont="1" applyBorder="1" applyAlignment="1">
      <alignment horizontal="center"/>
    </xf>
    <xf numFmtId="0" fontId="1" fillId="12" borderId="19" xfId="0" applyFont="1" applyFill="1" applyBorder="1"/>
    <xf numFmtId="171" fontId="1" fillId="0" borderId="19" xfId="0" applyNumberFormat="1" applyFont="1" applyBorder="1" applyAlignment="1">
      <alignment horizontal="center"/>
    </xf>
    <xf numFmtId="6" fontId="3" fillId="0" borderId="18" xfId="0" applyNumberFormat="1" applyFont="1" applyBorder="1" applyAlignment="1">
      <alignment horizontal="center"/>
    </xf>
    <xf numFmtId="8" fontId="3" fillId="0" borderId="13" xfId="0" applyNumberFormat="1" applyFont="1" applyBorder="1" applyAlignment="1">
      <alignment horizontal="center"/>
    </xf>
    <xf numFmtId="0" fontId="1" fillId="12" borderId="9" xfId="0" applyFont="1" applyFill="1" applyBorder="1"/>
    <xf numFmtId="0" fontId="7" fillId="12" borderId="9" xfId="0" applyFont="1" applyFill="1" applyBorder="1"/>
    <xf numFmtId="0" fontId="1" fillId="12" borderId="2" xfId="0" applyFont="1" applyFill="1" applyBorder="1"/>
    <xf numFmtId="0" fontId="7" fillId="12" borderId="2" xfId="0" applyFont="1" applyFill="1" applyBorder="1"/>
    <xf numFmtId="49" fontId="2" fillId="9" borderId="9" xfId="0" applyNumberFormat="1" applyFont="1" applyFill="1" applyBorder="1" applyAlignment="1">
      <alignment horizontal="center"/>
    </xf>
    <xf numFmtId="0" fontId="7" fillId="8" borderId="9" xfId="0" applyFont="1" applyFill="1" applyBorder="1"/>
    <xf numFmtId="0" fontId="2" fillId="9" borderId="16" xfId="0" applyFont="1" applyFill="1" applyBorder="1" applyAlignment="1">
      <alignment horizontal="center"/>
    </xf>
    <xf numFmtId="0" fontId="7" fillId="8" borderId="16" xfId="0" applyFont="1" applyFill="1" applyBorder="1"/>
    <xf numFmtId="164" fontId="2" fillId="9" borderId="16" xfId="0" applyNumberFormat="1" applyFont="1" applyFill="1" applyBorder="1" applyAlignment="1">
      <alignment horizontal="center"/>
    </xf>
    <xf numFmtId="177" fontId="2" fillId="9" borderId="17" xfId="0" applyNumberFormat="1" applyFont="1" applyFill="1" applyBorder="1" applyAlignment="1">
      <alignment horizontal="center"/>
    </xf>
    <xf numFmtId="177" fontId="7" fillId="8" borderId="17" xfId="0" applyNumberFormat="1" applyFont="1" applyFill="1" applyBorder="1"/>
    <xf numFmtId="0" fontId="13" fillId="9" borderId="112" xfId="0" applyFont="1" applyFill="1" applyBorder="1" applyAlignment="1">
      <alignment horizontal="center" vertical="center" wrapText="1"/>
    </xf>
    <xf numFmtId="0" fontId="13" fillId="9" borderId="49" xfId="0" applyFont="1" applyFill="1" applyBorder="1" applyAlignment="1">
      <alignment horizontal="center" vertical="center"/>
    </xf>
    <xf numFmtId="0" fontId="13" fillId="9" borderId="113" xfId="0" applyFont="1" applyFill="1" applyBorder="1" applyAlignment="1">
      <alignment horizontal="center" vertical="center"/>
    </xf>
    <xf numFmtId="0" fontId="2" fillId="9" borderId="88" xfId="0" applyFont="1" applyFill="1" applyBorder="1" applyAlignment="1">
      <alignment horizontal="left" vertical="center" wrapText="1"/>
    </xf>
    <xf numFmtId="0" fontId="7" fillId="8" borderId="88" xfId="0" applyFont="1" applyFill="1" applyBorder="1"/>
    <xf numFmtId="0" fontId="2" fillId="9" borderId="37" xfId="0" applyFont="1" applyFill="1" applyBorder="1" applyAlignment="1">
      <alignment horizontal="center"/>
    </xf>
    <xf numFmtId="0" fontId="2" fillId="9" borderId="38" xfId="0" applyFont="1" applyFill="1" applyBorder="1" applyAlignment="1">
      <alignment horizontal="center"/>
    </xf>
    <xf numFmtId="3" fontId="2" fillId="9" borderId="20" xfId="0" applyNumberFormat="1" applyFont="1" applyFill="1" applyBorder="1" applyAlignment="1">
      <alignment horizontal="center"/>
    </xf>
    <xf numFmtId="3" fontId="2" fillId="9" borderId="21" xfId="0" applyNumberFormat="1" applyFont="1" applyFill="1" applyBorder="1" applyAlignment="1">
      <alignment horizontal="center"/>
    </xf>
    <xf numFmtId="165" fontId="5" fillId="0" borderId="46" xfId="0" applyNumberFormat="1" applyFont="1" applyBorder="1" applyAlignment="1">
      <alignment horizontal="center"/>
    </xf>
    <xf numFmtId="165" fontId="5" fillId="0" borderId="47" xfId="0" applyNumberFormat="1" applyFont="1" applyBorder="1" applyAlignment="1">
      <alignment horizontal="center"/>
    </xf>
    <xf numFmtId="4" fontId="5" fillId="0" borderId="42" xfId="0" applyNumberFormat="1" applyFont="1" applyBorder="1" applyAlignment="1">
      <alignment horizontal="center" vertical="center"/>
    </xf>
    <xf numFmtId="4" fontId="5" fillId="0" borderId="41" xfId="0" applyNumberFormat="1" applyFont="1" applyBorder="1" applyAlignment="1">
      <alignment horizontal="center" vertical="center"/>
    </xf>
    <xf numFmtId="4" fontId="5" fillId="0" borderId="43" xfId="0" applyNumberFormat="1" applyFont="1" applyBorder="1" applyAlignment="1">
      <alignment horizontal="center" vertical="center"/>
    </xf>
    <xf numFmtId="0" fontId="15" fillId="0" borderId="69" xfId="0" applyFont="1" applyBorder="1" applyAlignment="1">
      <alignment horizontal="center" vertical="center"/>
    </xf>
    <xf numFmtId="0" fontId="15" fillId="0" borderId="70" xfId="0" applyFont="1" applyBorder="1" applyAlignment="1">
      <alignment horizontal="center" vertical="center"/>
    </xf>
    <xf numFmtId="0" fontId="15" fillId="0" borderId="71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/>
    </xf>
    <xf numFmtId="0" fontId="2" fillId="9" borderId="17" xfId="0" applyFont="1" applyFill="1" applyBorder="1" applyAlignment="1">
      <alignment horizontal="left" vertical="center" wrapText="1"/>
    </xf>
    <xf numFmtId="0" fontId="7" fillId="8" borderId="17" xfId="0" applyFont="1" applyFill="1" applyBorder="1"/>
    <xf numFmtId="10" fontId="2" fillId="16" borderId="85" xfId="0" applyNumberFormat="1" applyFont="1" applyFill="1" applyBorder="1" applyAlignment="1">
      <alignment horizontal="center"/>
    </xf>
    <xf numFmtId="10" fontId="2" fillId="16" borderId="84" xfId="0" applyNumberFormat="1" applyFont="1" applyFill="1" applyBorder="1" applyAlignment="1">
      <alignment horizontal="center"/>
    </xf>
    <xf numFmtId="0" fontId="2" fillId="9" borderId="25" xfId="0" applyFont="1" applyFill="1" applyBorder="1" applyAlignment="1">
      <alignment horizontal="center"/>
    </xf>
    <xf numFmtId="0" fontId="2" fillId="9" borderId="32" xfId="0" applyFont="1" applyFill="1" applyBorder="1" applyAlignment="1">
      <alignment horizontal="center"/>
    </xf>
    <xf numFmtId="10" fontId="2" fillId="8" borderId="86" xfId="0" applyNumberFormat="1" applyFont="1" applyFill="1" applyBorder="1" applyAlignment="1">
      <alignment horizontal="center"/>
    </xf>
    <xf numFmtId="10" fontId="2" fillId="8" borderId="87" xfId="0" applyNumberFormat="1" applyFont="1" applyFill="1" applyBorder="1" applyAlignment="1">
      <alignment horizontal="center"/>
    </xf>
    <xf numFmtId="0" fontId="1" fillId="12" borderId="13" xfId="0" applyFont="1" applyFill="1" applyBorder="1"/>
    <xf numFmtId="8" fontId="4" fillId="9" borderId="20" xfId="0" applyNumberFormat="1" applyFont="1" applyFill="1" applyBorder="1" applyAlignment="1">
      <alignment horizontal="center"/>
    </xf>
    <xf numFmtId="8" fontId="4" fillId="9" borderId="21" xfId="0" applyNumberFormat="1" applyFont="1" applyFill="1" applyBorder="1" applyAlignment="1">
      <alignment horizontal="center"/>
    </xf>
    <xf numFmtId="169" fontId="1" fillId="0" borderId="13" xfId="0" applyNumberFormat="1" applyFont="1" applyBorder="1" applyAlignment="1">
      <alignment horizontal="center"/>
    </xf>
    <xf numFmtId="0" fontId="5" fillId="0" borderId="13" xfId="0" applyFont="1" applyBorder="1"/>
    <xf numFmtId="168" fontId="1" fillId="0" borderId="13" xfId="0" applyNumberFormat="1" applyFont="1" applyBorder="1" applyAlignment="1">
      <alignment horizontal="center"/>
    </xf>
    <xf numFmtId="4" fontId="2" fillId="8" borderId="45" xfId="0" applyNumberFormat="1" applyFont="1" applyFill="1" applyBorder="1" applyAlignment="1">
      <alignment horizontal="center" vertical="center"/>
    </xf>
    <xf numFmtId="4" fontId="2" fillId="8" borderId="15" xfId="0" applyNumberFormat="1" applyFont="1" applyFill="1" applyBorder="1" applyAlignment="1">
      <alignment horizontal="center" vertical="center"/>
    </xf>
    <xf numFmtId="4" fontId="2" fillId="8" borderId="103" xfId="0" applyNumberFormat="1" applyFont="1" applyFill="1" applyBorder="1" applyAlignment="1">
      <alignment horizontal="center" vertical="center"/>
    </xf>
    <xf numFmtId="187" fontId="1" fillId="14" borderId="13" xfId="0" applyNumberFormat="1" applyFont="1" applyFill="1" applyBorder="1" applyAlignment="1">
      <alignment horizontal="center"/>
    </xf>
    <xf numFmtId="170" fontId="1" fillId="0" borderId="20" xfId="0" applyNumberFormat="1" applyFont="1" applyBorder="1" applyAlignment="1">
      <alignment horizontal="center"/>
    </xf>
    <xf numFmtId="170" fontId="1" fillId="0" borderId="21" xfId="0" applyNumberFormat="1" applyFont="1" applyBorder="1" applyAlignment="1">
      <alignment horizontal="center"/>
    </xf>
    <xf numFmtId="0" fontId="7" fillId="0" borderId="25" xfId="0" applyFont="1" applyBorder="1" applyAlignment="1">
      <alignment horizontal="center"/>
    </xf>
    <xf numFmtId="0" fontId="7" fillId="0" borderId="94" xfId="0" applyFont="1" applyBorder="1" applyAlignment="1">
      <alignment horizontal="center"/>
    </xf>
    <xf numFmtId="0" fontId="7" fillId="0" borderId="32" xfId="0" applyFont="1" applyBorder="1" applyAlignment="1">
      <alignment horizontal="center"/>
    </xf>
    <xf numFmtId="10" fontId="2" fillId="8" borderId="69" xfId="0" applyNumberFormat="1" applyFont="1" applyFill="1" applyBorder="1" applyAlignment="1">
      <alignment horizontal="center" vertical="center"/>
    </xf>
    <xf numFmtId="10" fontId="2" fillId="8" borderId="70" xfId="0" applyNumberFormat="1" applyFont="1" applyFill="1" applyBorder="1" applyAlignment="1">
      <alignment horizontal="center" vertical="center"/>
    </xf>
    <xf numFmtId="10" fontId="2" fillId="8" borderId="71" xfId="0" applyNumberFormat="1" applyFont="1" applyFill="1" applyBorder="1" applyAlignment="1">
      <alignment horizontal="center" vertical="center"/>
    </xf>
    <xf numFmtId="3" fontId="1" fillId="0" borderId="13" xfId="0" applyNumberFormat="1" applyFont="1" applyBorder="1" applyAlignment="1">
      <alignment horizontal="center"/>
    </xf>
    <xf numFmtId="3" fontId="2" fillId="9" borderId="13" xfId="0" applyNumberFormat="1" applyFont="1" applyFill="1" applyBorder="1" applyAlignment="1">
      <alignment horizontal="center"/>
    </xf>
    <xf numFmtId="0" fontId="7" fillId="8" borderId="13" xfId="0" applyFont="1" applyFill="1" applyBorder="1"/>
    <xf numFmtId="8" fontId="4" fillId="9" borderId="13" xfId="0" applyNumberFormat="1" applyFont="1" applyFill="1" applyBorder="1" applyAlignment="1">
      <alignment horizontal="center"/>
    </xf>
    <xf numFmtId="0" fontId="5" fillId="0" borderId="19" xfId="0" applyFont="1" applyBorder="1"/>
    <xf numFmtId="6" fontId="3" fillId="0" borderId="17" xfId="0" applyNumberFormat="1" applyFont="1" applyBorder="1" applyAlignment="1">
      <alignment horizontal="center"/>
    </xf>
    <xf numFmtId="0" fontId="7" fillId="0" borderId="17" xfId="0" applyFont="1" applyBorder="1"/>
    <xf numFmtId="0" fontId="7" fillId="0" borderId="18" xfId="0" applyFont="1" applyBorder="1"/>
    <xf numFmtId="3" fontId="1" fillId="0" borderId="66" xfId="0" applyNumberFormat="1" applyFont="1" applyBorder="1" applyAlignment="1">
      <alignment horizontal="center"/>
    </xf>
    <xf numFmtId="0" fontId="7" fillId="0" borderId="66" xfId="0" applyFont="1" applyBorder="1"/>
    <xf numFmtId="0" fontId="5" fillId="0" borderId="9" xfId="0" applyFont="1" applyBorder="1"/>
    <xf numFmtId="3" fontId="1" fillId="0" borderId="17" xfId="0" applyNumberFormat="1" applyFont="1" applyBorder="1" applyAlignment="1">
      <alignment horizontal="center"/>
    </xf>
    <xf numFmtId="10" fontId="2" fillId="9" borderId="13" xfId="0" applyNumberFormat="1" applyFont="1" applyFill="1" applyBorder="1" applyAlignment="1">
      <alignment horizontal="center"/>
    </xf>
    <xf numFmtId="10" fontId="7" fillId="8" borderId="13" xfId="0" applyNumberFormat="1" applyFont="1" applyFill="1" applyBorder="1"/>
    <xf numFmtId="10" fontId="7" fillId="0" borderId="13" xfId="0" applyNumberFormat="1" applyFont="1" applyBorder="1" applyAlignment="1">
      <alignment horizontal="center"/>
    </xf>
    <xf numFmtId="10" fontId="7" fillId="0" borderId="13" xfId="0" applyNumberFormat="1" applyFont="1" applyBorder="1"/>
    <xf numFmtId="3" fontId="1" fillId="0" borderId="25" xfId="0" applyNumberFormat="1" applyFont="1" applyBorder="1" applyAlignment="1">
      <alignment horizontal="center"/>
    </xf>
    <xf numFmtId="3" fontId="1" fillId="0" borderId="32" xfId="0" applyNumberFormat="1" applyFont="1" applyBorder="1" applyAlignment="1">
      <alignment horizontal="center"/>
    </xf>
    <xf numFmtId="3" fontId="2" fillId="8" borderId="13" xfId="0" applyNumberFormat="1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5" fillId="0" borderId="9" xfId="0" applyFont="1" applyBorder="1" applyAlignment="1">
      <alignment horizontal="center" vertical="center"/>
    </xf>
    <xf numFmtId="0" fontId="15" fillId="21" borderId="9" xfId="0" applyFont="1" applyFill="1" applyBorder="1" applyAlignment="1">
      <alignment horizontal="center"/>
    </xf>
    <xf numFmtId="4" fontId="15" fillId="0" borderId="12" xfId="0" applyNumberFormat="1" applyFont="1" applyBorder="1" applyAlignment="1">
      <alignment horizontal="center"/>
    </xf>
    <xf numFmtId="4" fontId="15" fillId="0" borderId="104" xfId="0" applyNumberFormat="1" applyFont="1" applyBorder="1" applyAlignment="1">
      <alignment horizontal="center"/>
    </xf>
    <xf numFmtId="0" fontId="5" fillId="0" borderId="124" xfId="0" quotePrefix="1" applyFont="1" applyBorder="1" applyAlignment="1">
      <alignment horizontal="center"/>
    </xf>
    <xf numFmtId="0" fontId="5" fillId="0" borderId="55" xfId="0" applyFont="1" applyBorder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20">
    <dxf>
      <fill>
        <patternFill patternType="solid">
          <bgColor theme="0" tint="-0.1499984740745262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solid">
          <fgColor rgb="FFDD7E6B"/>
          <bgColor rgb="FFDD7E6B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7" tint="0.79998168889431442"/>
        </patternFill>
      </fill>
    </dxf>
  </dxfs>
  <tableStyles count="0" defaultTableStyle="TableStyleMedium2" defaultPivotStyle="PivotStyleLight16"/>
  <colors>
    <mruColors>
      <color rgb="FFFFFFCC"/>
      <color rgb="FF0000FF"/>
      <color rgb="FFB6D7A8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dgeinvestments.org/blog/peter-lynch-stock-categori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pages.stern.nyu.edu/~adamodar/New_Home_Page/datafile/wcdata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  <pageSetUpPr fitToPage="1"/>
  </sheetPr>
  <dimension ref="A1:L969"/>
  <sheetViews>
    <sheetView showGridLines="0" tabSelected="1" topLeftCell="A10" zoomScaleNormal="100" workbookViewId="0">
      <selection activeCell="G23" sqref="G23:J23"/>
    </sheetView>
  </sheetViews>
  <sheetFormatPr defaultColWidth="12.453125" defaultRowHeight="15" customHeight="1"/>
  <cols>
    <col min="1" max="1" width="2.453125" style="3" customWidth="1"/>
    <col min="2" max="2" width="28.26953125" style="3" customWidth="1"/>
    <col min="3" max="10" width="14.81640625" style="3" customWidth="1"/>
    <col min="11" max="11" width="14.54296875" style="3" bestFit="1" customWidth="1"/>
    <col min="12" max="16384" width="12.453125" style="3"/>
  </cols>
  <sheetData>
    <row r="1" spans="1:12" ht="15" customHeight="1">
      <c r="B1" s="6"/>
      <c r="C1" s="6"/>
      <c r="D1" s="6"/>
      <c r="E1" s="6"/>
      <c r="F1" s="6"/>
      <c r="G1" s="6"/>
      <c r="H1" s="6"/>
      <c r="I1" s="6"/>
      <c r="J1" s="6"/>
    </row>
    <row r="2" spans="1:12" ht="15.75" customHeight="1">
      <c r="A2" s="10"/>
      <c r="B2" s="11" t="s">
        <v>0</v>
      </c>
      <c r="C2" s="276" t="str">
        <f>C3&amp;" : "&amp;C4</f>
        <v>6601.HK : CHEERWIN GP</v>
      </c>
      <c r="D2" s="12"/>
      <c r="E2" s="12"/>
      <c r="F2" s="12"/>
      <c r="G2" s="12"/>
      <c r="H2" s="12"/>
      <c r="I2" s="12"/>
      <c r="J2" s="12"/>
    </row>
    <row r="3" spans="1:12" ht="15.75" customHeight="1">
      <c r="B3" s="16" t="s">
        <v>1</v>
      </c>
      <c r="C3" s="417" t="s">
        <v>367</v>
      </c>
      <c r="D3" s="418"/>
      <c r="E3" s="15"/>
      <c r="G3" s="7" t="s">
        <v>2</v>
      </c>
      <c r="I3" s="429" t="s">
        <v>3</v>
      </c>
      <c r="J3" s="430"/>
    </row>
    <row r="4" spans="1:12" ht="15.75" customHeight="1">
      <c r="B4" s="5" t="s">
        <v>4</v>
      </c>
      <c r="C4" s="419" t="s">
        <v>368</v>
      </c>
      <c r="D4" s="420"/>
      <c r="E4" s="6"/>
      <c r="G4" s="5" t="s">
        <v>5</v>
      </c>
      <c r="I4" s="31">
        <v>1.8</v>
      </c>
      <c r="J4" s="32" t="s">
        <v>6</v>
      </c>
      <c r="K4" s="145"/>
    </row>
    <row r="5" spans="1:12" ht="15.75" customHeight="1">
      <c r="B5" s="5" t="s">
        <v>7</v>
      </c>
      <c r="C5" s="421">
        <v>44931</v>
      </c>
      <c r="D5" s="420"/>
      <c r="E5" s="118" t="str">
        <f ca="1">IF(C5+30&gt;=TODAY(),"Patience Premium","")</f>
        <v/>
      </c>
      <c r="G5" s="5" t="s">
        <v>8</v>
      </c>
      <c r="I5" s="431">
        <v>1333330048</v>
      </c>
      <c r="J5" s="432"/>
      <c r="K5" s="144"/>
      <c r="L5" s="83"/>
    </row>
    <row r="6" spans="1:12" ht="15.75" customHeight="1">
      <c r="B6" s="12" t="s">
        <v>235</v>
      </c>
      <c r="C6" s="245">
        <v>8</v>
      </c>
      <c r="D6" s="246">
        <f>EOMONTH(EDATE(Asset_Model!D9,C6),0)</f>
        <v>45169</v>
      </c>
      <c r="E6" s="314">
        <f>IF(Asset_Model!E9="FY",Asset_Model!D9,Data!C3)</f>
        <v>44926</v>
      </c>
      <c r="G6" s="127" t="s">
        <v>9</v>
      </c>
      <c r="H6" s="126"/>
      <c r="I6" s="433">
        <f>I4*I5/1000000</f>
        <v>2399.9940864</v>
      </c>
      <c r="J6" s="434"/>
      <c r="K6" s="144"/>
    </row>
    <row r="7" spans="1:12" ht="15.75" customHeight="1">
      <c r="B7" s="132" t="s">
        <v>10</v>
      </c>
      <c r="C7" s="138">
        <f>(Data!C39*Exchange_Rate)/I4</f>
        <v>4.3697401468939905E-2</v>
      </c>
      <c r="D7" s="138">
        <f>(Data!C40*Exchange_Rate)/I4</f>
        <v>0</v>
      </c>
      <c r="E7" s="146"/>
      <c r="F7" s="6"/>
    </row>
    <row r="8" spans="1:12" ht="15.75" customHeight="1">
      <c r="C8" s="92"/>
      <c r="E8" s="6"/>
      <c r="G8" s="21" t="s">
        <v>11</v>
      </c>
      <c r="H8" s="125"/>
      <c r="I8" s="6"/>
      <c r="J8" s="6"/>
    </row>
    <row r="9" spans="1:12" ht="15.75" customHeight="1">
      <c r="B9" s="21" t="s">
        <v>12</v>
      </c>
      <c r="C9" s="272"/>
      <c r="D9" s="270"/>
      <c r="E9" s="5"/>
      <c r="G9" s="5" t="s">
        <v>13</v>
      </c>
      <c r="I9" s="117">
        <f>IF(Data!F3&lt;=0,"NNI",I4/((Data!F3*I12)/(I5/Data!C4)))</f>
        <v>33.986878320480997</v>
      </c>
      <c r="J9" s="47">
        <f>IF(I9="NNI","NNI",1/I9)</f>
        <v>2.9423120022099385E-2</v>
      </c>
    </row>
    <row r="10" spans="1:12" ht="15.75" customHeight="1">
      <c r="B10" s="3" t="s">
        <v>250</v>
      </c>
      <c r="C10" s="271" t="s">
        <v>370</v>
      </c>
      <c r="D10" s="271">
        <v>3.6810000000000002E-2</v>
      </c>
      <c r="E10" s="5"/>
      <c r="G10" s="5" t="s">
        <v>14</v>
      </c>
      <c r="I10" s="131">
        <f>I4/(Data!C28*I12*Data!C4/Common_Shares)</f>
        <v>0.78019506331535371</v>
      </c>
      <c r="J10" s="123" t="str">
        <f>IF(Asset_Model!D60/'Val Models'!C4&lt;0,"Negative EV",Asset_Model!D60/'Val Models'!C4)</f>
        <v>Negative EV</v>
      </c>
    </row>
    <row r="11" spans="1:12" ht="15.75" customHeight="1" thickBot="1">
      <c r="B11" s="280" t="s">
        <v>251</v>
      </c>
      <c r="C11" s="448">
        <f ca="1">C12-D10</f>
        <v>4.3189999999999999E-2</v>
      </c>
      <c r="D11" s="449"/>
      <c r="E11" s="13"/>
      <c r="G11" s="5" t="s">
        <v>15</v>
      </c>
      <c r="H11" s="6"/>
      <c r="I11" s="446" t="s">
        <v>369</v>
      </c>
      <c r="J11" s="447"/>
    </row>
    <row r="12" spans="1:12" ht="15.75" customHeight="1" thickTop="1">
      <c r="B12" s="281" t="s">
        <v>141</v>
      </c>
      <c r="C12" s="444">
        <f ca="1">IF(C10="CN",8%,6%)*IF($C$5+30&gt;=TODAY(),1.2,1)</f>
        <v>0.08</v>
      </c>
      <c r="D12" s="445"/>
      <c r="G12" s="127" t="s">
        <v>16</v>
      </c>
      <c r="H12" s="126"/>
      <c r="I12" s="128">
        <v>1.0909209648768108</v>
      </c>
      <c r="J12" s="129" t="str">
        <f>IF(I11=Dashboard!J4,J4,I11&amp;"/"&amp;Dashboard!J4)</f>
        <v>CNY/HKD</v>
      </c>
    </row>
    <row r="13" spans="1:12" ht="15.75" customHeight="1"/>
    <row r="14" spans="1:12" ht="15.75" customHeight="1">
      <c r="A14" s="10"/>
      <c r="B14" s="20" t="s">
        <v>17</v>
      </c>
      <c r="C14" s="337" t="s">
        <v>307</v>
      </c>
      <c r="D14" s="231"/>
      <c r="E14" s="184">
        <f ca="1">'Val Models'!C44</f>
        <v>1.8032788670929241</v>
      </c>
      <c r="F14" s="177"/>
      <c r="G14" s="178"/>
      <c r="H14" s="337" t="s">
        <v>366</v>
      </c>
      <c r="I14" s="390">
        <v>0.25</v>
      </c>
      <c r="J14" s="126"/>
    </row>
    <row r="15" spans="1:12" ht="15.75" customHeight="1">
      <c r="A15" s="6"/>
      <c r="B15" s="217" t="str">
        <f>"(in "&amp;J4&amp;")"</f>
        <v>(in HKD)</v>
      </c>
      <c r="C15" s="218" t="s">
        <v>365</v>
      </c>
      <c r="D15" s="86" t="s">
        <v>19</v>
      </c>
      <c r="E15" s="132"/>
      <c r="F15" s="59" t="s">
        <v>22</v>
      </c>
      <c r="H15" s="342" t="s">
        <v>21</v>
      </c>
      <c r="I15" s="86" t="s">
        <v>353</v>
      </c>
      <c r="J15" s="86" t="s">
        <v>20</v>
      </c>
    </row>
    <row r="16" spans="1:12" ht="15.75" customHeight="1">
      <c r="B16" s="124">
        <f>I4</f>
        <v>1.8</v>
      </c>
      <c r="C16" s="465">
        <v>0.2</v>
      </c>
      <c r="D16" s="152">
        <f ca="1">I37/B16-(1+C16)</f>
        <v>-7.0596867342332059E-2</v>
      </c>
      <c r="E16" s="438" t="s">
        <v>23</v>
      </c>
      <c r="F16" s="435">
        <f>('Val Models'!G16)*Exchange_Rate</f>
        <v>1.9989792102971353</v>
      </c>
      <c r="G16" s="438" t="s">
        <v>24</v>
      </c>
      <c r="H16" s="343">
        <f>B16-$F$16</f>
        <v>-0.19897921029713528</v>
      </c>
      <c r="I16" s="456">
        <f>0.28+0.21</f>
        <v>0.49</v>
      </c>
      <c r="J16" s="154">
        <f>I16/B16</f>
        <v>0.2722222222222222</v>
      </c>
    </row>
    <row r="17" spans="1:10" ht="15.75" customHeight="1">
      <c r="B17" s="261">
        <f ca="1">MIN((I37+I38)/2,E14,I37/(1+C16))</f>
        <v>1.6941046989865021</v>
      </c>
      <c r="C17" s="466"/>
      <c r="D17" s="260">
        <f ca="1">I37/B17-(1+C16)</f>
        <v>0</v>
      </c>
      <c r="E17" s="439"/>
      <c r="F17" s="436"/>
      <c r="G17" s="439"/>
      <c r="H17" s="344">
        <f ca="1">B17-$F$16</f>
        <v>-0.30487451131063326</v>
      </c>
      <c r="I17" s="457"/>
      <c r="J17" s="155">
        <f ca="1">I16/B17</f>
        <v>0.28923832174784853</v>
      </c>
    </row>
    <row r="18" spans="1:10" ht="15.75" customHeight="1">
      <c r="B18" s="315">
        <f>C37</f>
        <v>1.42</v>
      </c>
      <c r="C18" s="467"/>
      <c r="D18" s="153">
        <f ca="1">I37/B18-(1+C16)</f>
        <v>0.23163777379141015</v>
      </c>
      <c r="E18" s="440"/>
      <c r="F18" s="437"/>
      <c r="G18" s="440"/>
      <c r="H18" s="345">
        <f>B18-$F$16</f>
        <v>-0.57897921029713539</v>
      </c>
      <c r="I18" s="458"/>
      <c r="J18" s="156">
        <f>I16/B18</f>
        <v>0.34507042253521125</v>
      </c>
    </row>
    <row r="19" spans="1:10" ht="15.75" customHeight="1">
      <c r="E19" s="6"/>
      <c r="H19" s="6"/>
    </row>
    <row r="20" spans="1:10" ht="15.75" customHeight="1">
      <c r="A20" s="4"/>
      <c r="B20" s="20" t="s">
        <v>25</v>
      </c>
      <c r="C20" s="5" t="s">
        <v>233</v>
      </c>
      <c r="D20" s="262" t="s">
        <v>301</v>
      </c>
      <c r="E20" s="242" t="s">
        <v>242</v>
      </c>
      <c r="G20" s="6"/>
      <c r="H20" s="6"/>
      <c r="I20" s="317"/>
    </row>
    <row r="21" spans="1:10" ht="15.75" customHeight="1">
      <c r="A21" s="6"/>
      <c r="B21" s="24" t="s">
        <v>26</v>
      </c>
      <c r="C21" s="424" t="s">
        <v>371</v>
      </c>
      <c r="D21" s="425"/>
      <c r="E21" s="425"/>
      <c r="F21" s="425"/>
      <c r="G21" s="425"/>
      <c r="H21" s="425"/>
      <c r="I21" s="425"/>
      <c r="J21" s="426"/>
    </row>
    <row r="22" spans="1:10" ht="52.5" customHeight="1">
      <c r="A22" s="6"/>
      <c r="B22" s="24" t="s">
        <v>27</v>
      </c>
      <c r="C22" s="442" t="s">
        <v>372</v>
      </c>
      <c r="D22" s="443"/>
      <c r="E22" s="443"/>
      <c r="F22" s="443"/>
      <c r="G22" s="442" t="s">
        <v>380</v>
      </c>
      <c r="H22" s="442"/>
      <c r="I22" s="443"/>
      <c r="J22" s="443"/>
    </row>
    <row r="23" spans="1:10" ht="52.5" customHeight="1">
      <c r="A23" s="6"/>
      <c r="B23" s="24" t="s">
        <v>28</v>
      </c>
      <c r="C23" s="427" t="s">
        <v>373</v>
      </c>
      <c r="D23" s="428"/>
      <c r="E23" s="428"/>
      <c r="F23" s="428"/>
      <c r="G23" s="427" t="s">
        <v>375</v>
      </c>
      <c r="H23" s="427"/>
      <c r="I23" s="428"/>
      <c r="J23" s="428"/>
    </row>
    <row r="24" spans="1:10" ht="52.5" customHeight="1">
      <c r="A24" s="6"/>
      <c r="B24" s="24" t="s">
        <v>322</v>
      </c>
      <c r="C24" s="392" t="s">
        <v>374</v>
      </c>
      <c r="D24" s="393"/>
      <c r="E24" s="393"/>
      <c r="F24" s="393"/>
      <c r="G24" s="393"/>
      <c r="H24" s="393"/>
      <c r="I24" s="393"/>
      <c r="J24" s="394"/>
    </row>
    <row r="25" spans="1:10" ht="52.5" customHeight="1">
      <c r="A25" s="6"/>
      <c r="B25" s="350" t="s">
        <v>321</v>
      </c>
      <c r="C25" s="395" t="s">
        <v>376</v>
      </c>
      <c r="D25" s="396"/>
      <c r="E25" s="396"/>
      <c r="F25" s="396"/>
      <c r="G25" s="396"/>
      <c r="H25" s="396"/>
      <c r="I25" s="396"/>
      <c r="J25" s="397"/>
    </row>
    <row r="26" spans="1:10" ht="15.75" customHeight="1">
      <c r="B26" s="6"/>
      <c r="C26" s="6"/>
      <c r="D26" s="6"/>
      <c r="E26" s="6"/>
      <c r="F26" s="9"/>
      <c r="G26" s="6"/>
      <c r="H26" s="6"/>
      <c r="I26" s="6"/>
      <c r="J26" s="6"/>
    </row>
    <row r="27" spans="1:10" ht="15.75" customHeight="1">
      <c r="A27" s="4"/>
      <c r="B27" s="20" t="s">
        <v>29</v>
      </c>
      <c r="C27" s="22" t="s">
        <v>30</v>
      </c>
      <c r="D27" s="33">
        <v>660000</v>
      </c>
      <c r="E27" s="12"/>
      <c r="F27" s="8"/>
      <c r="G27" s="12"/>
      <c r="H27" s="347" t="s">
        <v>316</v>
      </c>
      <c r="I27" s="29"/>
      <c r="J27" s="391">
        <f>C16</f>
        <v>0.2</v>
      </c>
    </row>
    <row r="28" spans="1:10" ht="15.75" customHeight="1">
      <c r="B28" s="23" t="s">
        <v>31</v>
      </c>
      <c r="C28" s="422">
        <v>44932</v>
      </c>
      <c r="D28" s="423"/>
      <c r="E28" s="462" t="str">
        <f>IF(C28="","","Action_Planning")</f>
        <v>Action_Planning</v>
      </c>
      <c r="F28" s="463"/>
      <c r="G28" s="463"/>
      <c r="H28" s="464"/>
      <c r="I28" s="441" t="s">
        <v>32</v>
      </c>
      <c r="J28" s="441"/>
    </row>
    <row r="29" spans="1:10" ht="15.75" customHeight="1">
      <c r="B29" s="23" t="s">
        <v>33</v>
      </c>
      <c r="C29" s="455">
        <f>C33/D27</f>
        <v>0.15545454545454546</v>
      </c>
      <c r="D29" s="454"/>
      <c r="E29" s="453">
        <f>E33/D27</f>
        <v>0.12909090909090909</v>
      </c>
      <c r="F29" s="454"/>
      <c r="G29" s="460">
        <f>G33/D27</f>
        <v>0</v>
      </c>
      <c r="H29" s="461"/>
      <c r="I29" s="459">
        <f>C29+E29+G29</f>
        <v>0.28454545454545455</v>
      </c>
      <c r="J29" s="459"/>
    </row>
    <row r="30" spans="1:10" ht="15.75" customHeight="1">
      <c r="B30" s="23" t="s">
        <v>34</v>
      </c>
      <c r="C30" s="469">
        <v>60000</v>
      </c>
      <c r="D30" s="470"/>
      <c r="E30" s="469">
        <v>60000</v>
      </c>
      <c r="F30" s="470"/>
      <c r="G30" s="431"/>
      <c r="H30" s="432"/>
      <c r="I30" s="468">
        <f>C30+E30+G30</f>
        <v>120000</v>
      </c>
      <c r="J30" s="468"/>
    </row>
    <row r="31" spans="1:10" ht="15.75" customHeight="1">
      <c r="B31" s="23" t="s">
        <v>35</v>
      </c>
      <c r="C31" s="471">
        <v>1.71</v>
      </c>
      <c r="D31" s="470"/>
      <c r="E31" s="471">
        <v>1.42</v>
      </c>
      <c r="F31" s="470"/>
      <c r="G31" s="451"/>
      <c r="H31" s="452"/>
      <c r="I31" s="450"/>
      <c r="J31" s="450"/>
    </row>
    <row r="32" spans="1:10" ht="15.75" customHeight="1">
      <c r="B32" s="23" t="s">
        <v>36</v>
      </c>
      <c r="C32" s="410">
        <f>C31*$I$5/1000000</f>
        <v>2279.9943820799999</v>
      </c>
      <c r="D32" s="472"/>
      <c r="E32" s="410">
        <f>E31*$I$5/1000000</f>
        <v>1893.3286681599998</v>
      </c>
      <c r="F32" s="472"/>
      <c r="G32" s="405">
        <f>G31*$I$5/1000000</f>
        <v>0</v>
      </c>
      <c r="H32" s="406"/>
      <c r="I32" s="409"/>
      <c r="J32" s="409"/>
    </row>
    <row r="33" spans="2:11" ht="15.75" customHeight="1">
      <c r="B33" s="2" t="s">
        <v>37</v>
      </c>
      <c r="C33" s="473">
        <f>C30*C31</f>
        <v>102600</v>
      </c>
      <c r="D33" s="474"/>
      <c r="E33" s="411">
        <f>E30*E31</f>
        <v>85200</v>
      </c>
      <c r="F33" s="475"/>
      <c r="G33" s="407">
        <f>G30*G31</f>
        <v>0</v>
      </c>
      <c r="H33" s="408"/>
      <c r="I33" s="411">
        <f>C33+E33+G33</f>
        <v>187800</v>
      </c>
      <c r="J33" s="411"/>
    </row>
    <row r="34" spans="2:11" ht="15.75" customHeight="1">
      <c r="B34" s="1" t="s">
        <v>38</v>
      </c>
      <c r="C34" s="413"/>
      <c r="D34" s="414"/>
      <c r="E34" s="412">
        <f>IF(C33=0,"-",(C33+E33)/(C30+E30))</f>
        <v>1.5649999999999999</v>
      </c>
      <c r="F34" s="454"/>
      <c r="G34" s="113"/>
      <c r="H34" s="113"/>
      <c r="I34" s="412">
        <f>IF(I33=0,"",I33/I30)</f>
        <v>1.5649999999999999</v>
      </c>
      <c r="J34" s="412"/>
    </row>
    <row r="35" spans="2:11" ht="15.75" customHeight="1">
      <c r="B35" s="1" t="s">
        <v>39</v>
      </c>
      <c r="C35" s="415"/>
      <c r="D35" s="416"/>
      <c r="E35" s="410">
        <f>IF(E34="-","-",E34*$I$5/1000000)</f>
        <v>2086.6615251200001</v>
      </c>
      <c r="F35" s="472"/>
      <c r="G35" s="114"/>
      <c r="H35" s="114"/>
      <c r="I35" s="410">
        <f>IF(I34="","",I34*$I$5/1000000)</f>
        <v>2086.6615251200001</v>
      </c>
      <c r="J35" s="410"/>
    </row>
    <row r="36" spans="2:11" ht="15.75" customHeight="1"/>
    <row r="37" spans="2:11" ht="15.75" customHeight="1">
      <c r="B37" s="139" t="s">
        <v>280</v>
      </c>
      <c r="C37" s="401">
        <f>E31</f>
        <v>1.42</v>
      </c>
      <c r="D37" s="402"/>
      <c r="E37" s="149" t="str">
        <f ca="1">IF(C37&gt;B17,"Caution! &gt; Breakeven price!","")</f>
        <v/>
      </c>
      <c r="G37" s="398" t="s">
        <v>359</v>
      </c>
      <c r="H37" s="398"/>
      <c r="I37" s="399">
        <f ca="1">'Val Models'!C48</f>
        <v>2.0329256387838024</v>
      </c>
      <c r="J37" s="400"/>
    </row>
    <row r="38" spans="2:11" ht="15.75" customHeight="1">
      <c r="B38" s="139" t="s">
        <v>310</v>
      </c>
      <c r="C38" s="401">
        <f>E34</f>
        <v>1.5649999999999999</v>
      </c>
      <c r="D38" s="402"/>
      <c r="G38" s="403" t="s">
        <v>308</v>
      </c>
      <c r="H38" s="404"/>
      <c r="I38" s="399">
        <f ca="1">'Val Models'!C49</f>
        <v>1.4426230936743392</v>
      </c>
      <c r="J38" s="400"/>
    </row>
    <row r="39" spans="2:11" ht="15.75" customHeight="1"/>
    <row r="40" spans="2:11" ht="15.75" customHeight="1">
      <c r="B40" s="21" t="s">
        <v>290</v>
      </c>
      <c r="G40" s="311" t="s">
        <v>132</v>
      </c>
      <c r="H40" s="126"/>
      <c r="I40" s="126"/>
      <c r="J40" s="126"/>
      <c r="K40" s="316"/>
    </row>
    <row r="41" spans="2:11" ht="15.75" customHeight="1">
      <c r="B41" s="3" t="s">
        <v>293</v>
      </c>
      <c r="F41" s="202">
        <f>'Qualitative Analysis'!E8</f>
        <v>0.64</v>
      </c>
      <c r="G41" s="323"/>
      <c r="H41" s="112"/>
      <c r="I41" s="112"/>
      <c r="J41" s="112"/>
    </row>
    <row r="42" spans="2:11" ht="15.75" customHeight="1">
      <c r="B42" s="3" t="s">
        <v>292</v>
      </c>
      <c r="F42" s="202">
        <f>80%-(5%*IF(LEFT(D20,2)="St",2,IF(LEFT(D20,2)="Sl",3,IF(LEFT(D20,2)="Cy",4,IF(LEFT(D20,2)="Tu",5,IF(LEFT(D20,2)="Fa",6,0))))))</f>
        <v>0.8</v>
      </c>
      <c r="G42" s="72"/>
      <c r="H42" s="72"/>
      <c r="I42" s="72"/>
      <c r="J42" s="72"/>
    </row>
    <row r="43" spans="2:11" ht="15.75" customHeight="1">
      <c r="B43" s="3" t="s">
        <v>299</v>
      </c>
      <c r="F43" s="321">
        <f>'Qualitative Analysis'!E64</f>
        <v>0.44088435374149659</v>
      </c>
      <c r="G43" s="323" t="s">
        <v>291</v>
      </c>
      <c r="H43" s="112"/>
      <c r="I43" s="112"/>
      <c r="J43" s="112"/>
    </row>
    <row r="44" spans="2:11" ht="15.75" customHeight="1">
      <c r="B44" s="3" t="s">
        <v>313</v>
      </c>
      <c r="F44" s="324">
        <f>AVERAGE(80%*0.5,0.6)</f>
        <v>0.5</v>
      </c>
      <c r="G44" s="72" t="s">
        <v>294</v>
      </c>
      <c r="H44" s="72"/>
      <c r="I44" s="72"/>
      <c r="J44" s="72"/>
    </row>
    <row r="45" spans="2:11" ht="15.75" customHeight="1">
      <c r="G45" s="112"/>
      <c r="H45" s="112"/>
      <c r="I45" s="112"/>
      <c r="J45" s="112"/>
    </row>
    <row r="46" spans="2:11" ht="15.75" customHeight="1">
      <c r="E46" s="250" t="s">
        <v>311</v>
      </c>
      <c r="F46" s="250" t="s">
        <v>312</v>
      </c>
    </row>
    <row r="47" spans="2:11" ht="15.75" customHeight="1">
      <c r="B47" s="3" t="s">
        <v>295</v>
      </c>
      <c r="E47" s="321">
        <f ca="1">I37/C31-1</f>
        <v>0.18884540279754525</v>
      </c>
      <c r="F47" s="321">
        <f ca="1">I37/C38-1</f>
        <v>0.29899401839220596</v>
      </c>
      <c r="J47" s="348"/>
    </row>
    <row r="48" spans="2:11" ht="15.75" customHeight="1">
      <c r="B48" s="3" t="s">
        <v>296</v>
      </c>
      <c r="E48" s="321">
        <f ca="1">'Val Models'!C49/C31-1</f>
        <v>-0.15636076393313503</v>
      </c>
      <c r="F48" s="321">
        <f ca="1">'Val Models'!C49/C38-1</f>
        <v>-7.8196106278377475E-2</v>
      </c>
    </row>
    <row r="49" spans="2:9" ht="15.75" customHeight="1"/>
    <row r="50" spans="2:9" ht="15.75" customHeight="1">
      <c r="B50" s="3" t="s">
        <v>298</v>
      </c>
      <c r="E50" s="341">
        <f ca="1">IF(E47&lt;=0,0,AVERAGE(F41:F43,1-F44))-(MAX(0,1-E51))</f>
        <v>0.59522108843537413</v>
      </c>
      <c r="F50" s="321">
        <f ca="1">IF(F47&lt;=0,0,AVERAGE(F41:F43,1-F44))-(MAX(0,1-F51))</f>
        <v>0.59522108843537413</v>
      </c>
      <c r="G50" s="72"/>
    </row>
    <row r="51" spans="2:9" ht="15.75" customHeight="1">
      <c r="B51" s="3" t="s">
        <v>297</v>
      </c>
      <c r="D51" s="318"/>
      <c r="E51" s="320">
        <f ca="1">IF(E48&gt;=0,100,E47/ABS(E48))</f>
        <v>1.2077544138777789</v>
      </c>
      <c r="F51" s="320">
        <f ca="1">IF(F48&gt;=0,100,F47/ABS(F48))</f>
        <v>3.8236433068392151</v>
      </c>
      <c r="G51" s="72"/>
    </row>
    <row r="52" spans="2:9" ht="15.75" customHeight="1">
      <c r="B52" s="3" t="s">
        <v>314</v>
      </c>
      <c r="E52" s="346">
        <f ca="1">MAX(C16*2.5/E47,1)+IF(E47&lt;C16,100,0)</f>
        <v>102.64766837102216</v>
      </c>
      <c r="F52" s="346">
        <f ca="1">MAX(C16*2.5/F47,1)+IF(F47&lt;C16,100,0)+IF(D18&lt;0,100,0)</f>
        <v>1.6722742571529443</v>
      </c>
      <c r="G52" s="322"/>
      <c r="H52" s="83"/>
      <c r="I52" s="83"/>
    </row>
    <row r="53" spans="2:9" ht="15.75" customHeight="1">
      <c r="B53" s="3" t="s">
        <v>315</v>
      </c>
      <c r="E53" s="319">
        <f ca="1">MIN(MAX(E50-ABS((1-E50)/E51),0)/E52,H53)</f>
        <v>2.5336286367440056E-3</v>
      </c>
      <c r="F53" s="319">
        <f ca="1">MIN(MAX(F50-ABS((1-F50)/F51),0)/F52,H53)</f>
        <v>0.29263082055024331</v>
      </c>
      <c r="G53" s="322" t="s">
        <v>300</v>
      </c>
      <c r="H53" s="76">
        <v>0.4</v>
      </c>
    </row>
    <row r="54" spans="2:9" ht="15.75" customHeight="1"/>
    <row r="55" spans="2:9" ht="15.75" customHeight="1">
      <c r="B55" s="21" t="s">
        <v>304</v>
      </c>
    </row>
    <row r="56" spans="2:9" ht="15.75" customHeight="1">
      <c r="B56" s="349" t="s">
        <v>305</v>
      </c>
    </row>
    <row r="57" spans="2:9" ht="15.75" customHeight="1">
      <c r="B57" s="3" t="s">
        <v>318</v>
      </c>
    </row>
    <row r="58" spans="2:9" ht="15.75" customHeight="1">
      <c r="B58" s="3" t="s">
        <v>317</v>
      </c>
    </row>
    <row r="59" spans="2:9" ht="15.75" customHeight="1"/>
    <row r="60" spans="2:9" ht="15.75" customHeight="1">
      <c r="B60" s="349" t="s">
        <v>306</v>
      </c>
    </row>
    <row r="61" spans="2:9" ht="15.75" customHeight="1">
      <c r="B61" s="3" t="s">
        <v>319</v>
      </c>
    </row>
    <row r="62" spans="2:9" ht="15.75" customHeight="1">
      <c r="B62" s="3" t="s">
        <v>320</v>
      </c>
    </row>
    <row r="63" spans="2:9" ht="15.75" customHeight="1"/>
    <row r="64" spans="2:9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</sheetData>
  <mergeCells count="56">
    <mergeCell ref="E30:F30"/>
    <mergeCell ref="C31:D31"/>
    <mergeCell ref="E35:F35"/>
    <mergeCell ref="C33:D33"/>
    <mergeCell ref="E33:F33"/>
    <mergeCell ref="E34:F34"/>
    <mergeCell ref="C32:D32"/>
    <mergeCell ref="E32:F32"/>
    <mergeCell ref="C11:D11"/>
    <mergeCell ref="G30:H30"/>
    <mergeCell ref="I31:J31"/>
    <mergeCell ref="G31:H31"/>
    <mergeCell ref="E29:F29"/>
    <mergeCell ref="C29:D29"/>
    <mergeCell ref="I16:I18"/>
    <mergeCell ref="G23:J23"/>
    <mergeCell ref="E16:E18"/>
    <mergeCell ref="I29:J29"/>
    <mergeCell ref="G29:H29"/>
    <mergeCell ref="E28:H28"/>
    <mergeCell ref="C16:C18"/>
    <mergeCell ref="I30:J30"/>
    <mergeCell ref="C30:D30"/>
    <mergeCell ref="E31:F31"/>
    <mergeCell ref="C3:D3"/>
    <mergeCell ref="C4:D4"/>
    <mergeCell ref="C5:D5"/>
    <mergeCell ref="C28:D28"/>
    <mergeCell ref="C21:J21"/>
    <mergeCell ref="C23:F23"/>
    <mergeCell ref="I3:J3"/>
    <mergeCell ref="I5:J5"/>
    <mergeCell ref="I6:J6"/>
    <mergeCell ref="F16:F18"/>
    <mergeCell ref="G16:G18"/>
    <mergeCell ref="I28:J28"/>
    <mergeCell ref="G22:J22"/>
    <mergeCell ref="C12:D12"/>
    <mergeCell ref="I11:J11"/>
    <mergeCell ref="C22:F22"/>
    <mergeCell ref="C24:J24"/>
    <mergeCell ref="C25:J25"/>
    <mergeCell ref="G37:H37"/>
    <mergeCell ref="I37:J37"/>
    <mergeCell ref="C38:D38"/>
    <mergeCell ref="C37:D37"/>
    <mergeCell ref="I38:J38"/>
    <mergeCell ref="G38:H38"/>
    <mergeCell ref="G32:H32"/>
    <mergeCell ref="G33:H33"/>
    <mergeCell ref="I32:J32"/>
    <mergeCell ref="I35:J35"/>
    <mergeCell ref="I33:J33"/>
    <mergeCell ref="I34:J34"/>
    <mergeCell ref="C34:D34"/>
    <mergeCell ref="C35:D35"/>
  </mergeCells>
  <phoneticPr fontId="31" type="noConversion"/>
  <conditionalFormatting sqref="B16">
    <cfRule type="cellIs" dxfId="19" priority="12" operator="lessThan">
      <formula>$B$18</formula>
    </cfRule>
  </conditionalFormatting>
  <conditionalFormatting sqref="B18">
    <cfRule type="cellIs" dxfId="18" priority="1" operator="greaterThan">
      <formula>$B$17</formula>
    </cfRule>
  </conditionalFormatting>
  <conditionalFormatting sqref="C37:D38">
    <cfRule type="containsBlanks" priority="5">
      <formula>LEN(TRIM(C37))=0</formula>
    </cfRule>
  </conditionalFormatting>
  <conditionalFormatting sqref="C28:E28 I28 C30:G31 I30:I31">
    <cfRule type="containsBlanks" priority="29">
      <formula>LEN(TRIM(C28))=0</formula>
    </cfRule>
  </conditionalFormatting>
  <conditionalFormatting sqref="D16 D18">
    <cfRule type="cellIs" dxfId="17" priority="25" operator="lessThan">
      <formula>0</formula>
    </cfRule>
  </conditionalFormatting>
  <conditionalFormatting sqref="E14">
    <cfRule type="cellIs" dxfId="16" priority="17" operator="greaterThan">
      <formula>$B$16</formula>
    </cfRule>
  </conditionalFormatting>
  <conditionalFormatting sqref="E51:F51">
    <cfRule type="cellIs" dxfId="15" priority="4" operator="lessThan">
      <formula>1</formula>
    </cfRule>
  </conditionalFormatting>
  <conditionalFormatting sqref="E52:F52">
    <cfRule type="containsBlanks" priority="3">
      <formula>LEN(TRIM(E52))=0</formula>
    </cfRule>
  </conditionalFormatting>
  <conditionalFormatting sqref="E28:H28">
    <cfRule type="containsBlanks" dxfId="14" priority="13">
      <formula>LEN(TRIM(E28))=0</formula>
    </cfRule>
  </conditionalFormatting>
  <conditionalFormatting sqref="F16">
    <cfRule type="cellIs" dxfId="13" priority="20" operator="greaterThan">
      <formula>$B$16</formula>
    </cfRule>
  </conditionalFormatting>
  <conditionalFormatting sqref="G16">
    <cfRule type="cellIs" dxfId="12" priority="35" operator="lessThan">
      <formula>0</formula>
    </cfRule>
  </conditionalFormatting>
  <conditionalFormatting sqref="I37:J38">
    <cfRule type="containsBlanks" priority="7">
      <formula>LEN(TRIM(I37))=0</formula>
    </cfRule>
  </conditionalFormatting>
  <conditionalFormatting sqref="K40">
    <cfRule type="containsBlanks" priority="14">
      <formula>LEN(TRIM(K40))=0</formula>
    </cfRule>
  </conditionalFormatting>
  <dataValidations count="6">
    <dataValidation type="list" allowBlank="1" sqref="I3" xr:uid="{00000000-0002-0000-0000-000000000000}">
      <formula1>"HK,US:NASDAQ,CN"</formula1>
    </dataValidation>
    <dataValidation type="list" allowBlank="1" sqref="I11" xr:uid="{00000000-0002-0000-0000-000001000000}">
      <formula1>"HKD,USD,CNY,EUR"</formula1>
    </dataValidation>
    <dataValidation type="list" allowBlank="1" showInputMessage="1" showErrorMessage="1" sqref="C10" xr:uid="{CA293681-B01E-459F-8C40-5799F5EB5C26}">
      <formula1>"US, CN, HK"</formula1>
    </dataValidation>
    <dataValidation type="list" allowBlank="1" showInputMessage="1" showErrorMessage="1" sqref="D20" xr:uid="{653EE4BA-4D98-4EE5-AD27-D0955626562F}">
      <formula1>"Slow Growers, Stalwarts, Fast Growers, Cyclicals, Turnarounds, Asset Plays "</formula1>
    </dataValidation>
    <dataValidation allowBlank="1" sqref="F49" xr:uid="{93A0A854-6906-47E5-9CB9-89F531648935}"/>
    <dataValidation type="list" allowBlank="1" showInputMessage="1" showErrorMessage="1" sqref="B53" xr:uid="{5650037A-2134-4900-ABF2-A28ECB840AD9}">
      <formula1>"⇒ 1/2 Kelly %, ⇒ 1/3 Kelly %, ⇒ 1/4 Kelly %"</formula1>
    </dataValidation>
  </dataValidations>
  <hyperlinks>
    <hyperlink ref="E20" r:id="rId1" xr:uid="{A32D64E0-BF18-4451-BCDD-98677BDA8148}"/>
  </hyperlinks>
  <pageMargins left="0.7" right="0.7" top="0.75" bottom="0.75" header="0" footer="0"/>
  <pageSetup scale="83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47"/>
  <sheetViews>
    <sheetView showGridLines="0" topLeftCell="A4" zoomScaleNormal="100" workbookViewId="0">
      <selection activeCell="F10" sqref="F10"/>
    </sheetView>
  </sheetViews>
  <sheetFormatPr defaultColWidth="12.453125" defaultRowHeight="15" customHeight="1"/>
  <cols>
    <col min="1" max="1" width="1.453125" style="3" customWidth="1"/>
    <col min="2" max="2" width="26.453125" style="3" customWidth="1"/>
    <col min="3" max="13" width="24.7265625" style="3" customWidth="1"/>
    <col min="14" max="16384" width="12.453125" style="3"/>
  </cols>
  <sheetData>
    <row r="1" spans="1:14" ht="8.25" customHeight="1">
      <c r="A1" s="35"/>
      <c r="B1" s="36"/>
      <c r="C1" s="37"/>
      <c r="D1" s="37"/>
      <c r="E1" s="37"/>
      <c r="F1" s="37"/>
    </row>
    <row r="2" spans="1:14" ht="15.75" customHeight="1">
      <c r="A2" s="38"/>
      <c r="B2" s="11" t="s">
        <v>40</v>
      </c>
      <c r="C2" s="39"/>
      <c r="D2" s="39"/>
      <c r="E2" s="39"/>
      <c r="F2" s="39"/>
      <c r="G2" s="12"/>
      <c r="H2" s="12"/>
      <c r="I2" s="12"/>
      <c r="J2" s="6"/>
      <c r="K2" s="12"/>
      <c r="L2" s="12"/>
      <c r="M2" s="12"/>
    </row>
    <row r="3" spans="1:14" ht="15.75" customHeight="1">
      <c r="A3" s="9"/>
      <c r="B3" s="5" t="s">
        <v>41</v>
      </c>
      <c r="C3" s="142">
        <v>44926</v>
      </c>
      <c r="D3" s="6"/>
      <c r="E3" s="172">
        <v>1</v>
      </c>
      <c r="F3" s="170">
        <f t="array" ref="F3">AVERAGE(C19:INDEX(C19:M19,1,E3))</f>
        <v>64730</v>
      </c>
      <c r="G3" s="6"/>
      <c r="H3" s="5"/>
      <c r="I3" s="6"/>
      <c r="J3" s="167"/>
      <c r="K3" s="6"/>
      <c r="L3" s="6"/>
      <c r="M3" s="6"/>
    </row>
    <row r="4" spans="1:14" ht="15.75" customHeight="1">
      <c r="A4" s="9"/>
      <c r="B4" s="5" t="s">
        <v>42</v>
      </c>
      <c r="C4" s="34">
        <v>1000</v>
      </c>
      <c r="D4" s="6"/>
      <c r="E4" s="40">
        <f>E3</f>
        <v>1</v>
      </c>
      <c r="F4" s="171">
        <f>AVERAGE(C16:INDEX(C16:M16,1,E4))</f>
        <v>58777</v>
      </c>
      <c r="G4" s="6"/>
      <c r="I4" s="6"/>
      <c r="J4" s="85"/>
      <c r="K4" s="6"/>
    </row>
    <row r="5" spans="1:14" ht="15.75" customHeight="1">
      <c r="A5" s="9"/>
      <c r="C5" s="6"/>
      <c r="F5" s="6"/>
      <c r="J5" s="6"/>
    </row>
    <row r="6" spans="1:14" ht="15.75" customHeight="1">
      <c r="A6" s="9"/>
      <c r="B6" s="41"/>
      <c r="C6" s="254">
        <f>C3</f>
        <v>44926</v>
      </c>
      <c r="D6" s="255">
        <f>EOMONTH(EDATE(C6,-12),0)</f>
        <v>44561</v>
      </c>
      <c r="E6" s="255">
        <f t="shared" ref="E6:M6" si="0">EOMONTH(EDATE(D6,-12),0)</f>
        <v>44196</v>
      </c>
      <c r="F6" s="255">
        <f t="shared" si="0"/>
        <v>43830</v>
      </c>
      <c r="G6" s="255">
        <f t="shared" si="0"/>
        <v>43465</v>
      </c>
      <c r="H6" s="255">
        <f t="shared" si="0"/>
        <v>43100</v>
      </c>
      <c r="I6" s="255">
        <f t="shared" si="0"/>
        <v>42735</v>
      </c>
      <c r="J6" s="255">
        <f t="shared" si="0"/>
        <v>42369</v>
      </c>
      <c r="K6" s="255">
        <f t="shared" si="0"/>
        <v>42004</v>
      </c>
      <c r="L6" s="255">
        <f t="shared" si="0"/>
        <v>41639</v>
      </c>
      <c r="M6" s="255">
        <f t="shared" si="0"/>
        <v>41274</v>
      </c>
    </row>
    <row r="7" spans="1:14" ht="15.75" customHeight="1">
      <c r="A7" s="9"/>
      <c r="B7" s="42" t="s">
        <v>43</v>
      </c>
      <c r="C7" s="34">
        <v>1442194</v>
      </c>
      <c r="D7" s="34">
        <v>1769157</v>
      </c>
      <c r="E7" s="34">
        <v>1702154</v>
      </c>
      <c r="F7" s="34">
        <v>1383402</v>
      </c>
      <c r="G7" s="34"/>
      <c r="H7" s="34"/>
      <c r="I7" s="34"/>
      <c r="J7" s="34"/>
      <c r="K7" s="34"/>
      <c r="L7" s="34"/>
      <c r="M7" s="221"/>
      <c r="N7" s="6"/>
    </row>
    <row r="8" spans="1:14" ht="15.75" customHeight="1">
      <c r="A8" s="9"/>
      <c r="B8" s="43" t="s">
        <v>44</v>
      </c>
      <c r="C8" s="14">
        <f t="shared" ref="C8:L8" si="1">IF(D7="","",C7/D7-1)</f>
        <v>-0.18481287980659711</v>
      </c>
      <c r="D8" s="14">
        <f t="shared" si="1"/>
        <v>3.9363653347464389E-2</v>
      </c>
      <c r="E8" s="14">
        <f t="shared" si="1"/>
        <v>0.2304116952266948</v>
      </c>
      <c r="F8" s="14" t="str">
        <f t="shared" si="1"/>
        <v/>
      </c>
      <c r="G8" s="14" t="str">
        <f t="shared" si="1"/>
        <v/>
      </c>
      <c r="H8" s="14" t="str">
        <f t="shared" si="1"/>
        <v/>
      </c>
      <c r="I8" s="14" t="str">
        <f t="shared" si="1"/>
        <v/>
      </c>
      <c r="J8" s="14" t="str">
        <f t="shared" si="1"/>
        <v/>
      </c>
      <c r="K8" s="14" t="str">
        <f t="shared" si="1"/>
        <v/>
      </c>
      <c r="L8" s="14" t="str">
        <f t="shared" si="1"/>
        <v/>
      </c>
      <c r="M8" s="198"/>
      <c r="N8" s="6"/>
    </row>
    <row r="9" spans="1:14" ht="15.75" customHeight="1">
      <c r="A9" s="9"/>
      <c r="B9" s="43" t="s">
        <v>45</v>
      </c>
      <c r="C9" s="34">
        <v>842386</v>
      </c>
      <c r="D9" s="34">
        <v>981731</v>
      </c>
      <c r="E9" s="34">
        <v>959572</v>
      </c>
      <c r="F9" s="34">
        <v>783542</v>
      </c>
      <c r="G9" s="34"/>
      <c r="H9" s="34"/>
      <c r="I9" s="34"/>
      <c r="J9" s="34"/>
      <c r="K9" s="34"/>
      <c r="L9" s="34"/>
      <c r="M9" s="221"/>
      <c r="N9" s="6"/>
    </row>
    <row r="10" spans="1:14" ht="15.75" customHeight="1">
      <c r="A10" s="9"/>
      <c r="B10" s="43" t="s">
        <v>46</v>
      </c>
      <c r="C10" s="14">
        <f t="shared" ref="C10:M10" si="2">IF(C7="","",(C7-C9)/C7)</f>
        <v>0.41589966398417966</v>
      </c>
      <c r="D10" s="14">
        <f t="shared" si="2"/>
        <v>0.44508542769239812</v>
      </c>
      <c r="E10" s="14">
        <f t="shared" si="2"/>
        <v>0.43626017387380928</v>
      </c>
      <c r="F10" s="14">
        <f t="shared" si="2"/>
        <v>0.43361221105651143</v>
      </c>
      <c r="G10" s="14" t="str">
        <f t="shared" si="2"/>
        <v/>
      </c>
      <c r="H10" s="14" t="str">
        <f t="shared" si="2"/>
        <v/>
      </c>
      <c r="I10" s="14" t="str">
        <f t="shared" si="2"/>
        <v/>
      </c>
      <c r="J10" s="14" t="str">
        <f t="shared" si="2"/>
        <v/>
      </c>
      <c r="K10" s="14" t="str">
        <f t="shared" si="2"/>
        <v/>
      </c>
      <c r="L10" s="14" t="str">
        <f t="shared" si="2"/>
        <v/>
      </c>
      <c r="M10" s="198" t="str">
        <f t="shared" si="2"/>
        <v/>
      </c>
      <c r="N10" s="6"/>
    </row>
    <row r="11" spans="1:14" ht="15.75" customHeight="1">
      <c r="A11" s="9"/>
      <c r="B11" s="43" t="s">
        <v>47</v>
      </c>
      <c r="C11" s="34">
        <v>541031</v>
      </c>
      <c r="D11" s="34">
        <v>715420</v>
      </c>
      <c r="E11" s="34">
        <v>466870</v>
      </c>
      <c r="F11" s="34">
        <v>375859</v>
      </c>
      <c r="G11" s="34"/>
      <c r="H11" s="34"/>
      <c r="I11" s="34"/>
      <c r="J11" s="34"/>
      <c r="K11" s="34"/>
      <c r="L11" s="34"/>
      <c r="M11" s="221"/>
      <c r="N11" s="6"/>
    </row>
    <row r="12" spans="1:14" ht="15.75" customHeight="1">
      <c r="A12" s="9"/>
      <c r="B12" s="43" t="s">
        <v>48</v>
      </c>
      <c r="C12" s="14">
        <f t="shared" ref="C12:M12" si="3">IF(C7="","",C10-C13)</f>
        <v>0.37514439804908356</v>
      </c>
      <c r="D12" s="14">
        <f t="shared" si="3"/>
        <v>0.40438468717021719</v>
      </c>
      <c r="E12" s="14">
        <f t="shared" si="3"/>
        <v>0.27428188048789942</v>
      </c>
      <c r="F12" s="14">
        <f t="shared" si="3"/>
        <v>0.27169181481593929</v>
      </c>
      <c r="G12" s="14" t="str">
        <f t="shared" si="3"/>
        <v/>
      </c>
      <c r="H12" s="14" t="str">
        <f t="shared" si="3"/>
        <v/>
      </c>
      <c r="I12" s="14" t="str">
        <f t="shared" si="3"/>
        <v/>
      </c>
      <c r="J12" s="14" t="str">
        <f t="shared" si="3"/>
        <v/>
      </c>
      <c r="K12" s="14" t="str">
        <f t="shared" si="3"/>
        <v/>
      </c>
      <c r="L12" s="14" t="str">
        <f t="shared" si="3"/>
        <v/>
      </c>
      <c r="M12" s="198" t="str">
        <f t="shared" si="3"/>
        <v/>
      </c>
      <c r="N12" s="6"/>
    </row>
    <row r="13" spans="1:14" ht="15.75" customHeight="1">
      <c r="A13" s="9"/>
      <c r="B13" s="43" t="s">
        <v>49</v>
      </c>
      <c r="C13" s="14">
        <f t="shared" ref="C13:M13" si="4">IF(C14="","",C14/C7)</f>
        <v>4.0755265935096111E-2</v>
      </c>
      <c r="D13" s="14">
        <f t="shared" si="4"/>
        <v>4.0700740522180902E-2</v>
      </c>
      <c r="E13" s="14">
        <f t="shared" si="4"/>
        <v>0.16197829338590986</v>
      </c>
      <c r="F13" s="14">
        <f t="shared" si="4"/>
        <v>0.16192039624057217</v>
      </c>
      <c r="G13" s="14" t="str">
        <f t="shared" si="4"/>
        <v/>
      </c>
      <c r="H13" s="14" t="str">
        <f t="shared" si="4"/>
        <v/>
      </c>
      <c r="I13" s="14" t="str">
        <f t="shared" si="4"/>
        <v/>
      </c>
      <c r="J13" s="14" t="str">
        <f t="shared" si="4"/>
        <v/>
      </c>
      <c r="K13" s="14" t="str">
        <f t="shared" si="4"/>
        <v/>
      </c>
      <c r="L13" s="14" t="str">
        <f t="shared" si="4"/>
        <v/>
      </c>
      <c r="M13" s="198" t="str">
        <f t="shared" si="4"/>
        <v/>
      </c>
      <c r="N13" s="6"/>
    </row>
    <row r="14" spans="1:14" ht="15.75" customHeight="1">
      <c r="A14" s="9"/>
      <c r="B14" s="43" t="s">
        <v>50</v>
      </c>
      <c r="C14" s="26">
        <f t="shared" ref="C14:M14" si="5">IF(C7="","",C7-C9-C11)</f>
        <v>58777</v>
      </c>
      <c r="D14" s="26">
        <f t="shared" si="5"/>
        <v>72006</v>
      </c>
      <c r="E14" s="26">
        <f t="shared" si="5"/>
        <v>275712</v>
      </c>
      <c r="F14" s="26">
        <f t="shared" si="5"/>
        <v>224001</v>
      </c>
      <c r="G14" s="26" t="str">
        <f t="shared" si="5"/>
        <v/>
      </c>
      <c r="H14" s="26" t="str">
        <f t="shared" si="5"/>
        <v/>
      </c>
      <c r="I14" s="26" t="str">
        <f t="shared" si="5"/>
        <v/>
      </c>
      <c r="J14" s="26" t="str">
        <f t="shared" si="5"/>
        <v/>
      </c>
      <c r="K14" s="26" t="str">
        <f t="shared" si="5"/>
        <v/>
      </c>
      <c r="L14" s="26" t="str">
        <f t="shared" si="5"/>
        <v/>
      </c>
      <c r="M14" s="222" t="str">
        <f t="shared" si="5"/>
        <v/>
      </c>
      <c r="N14" s="6"/>
    </row>
    <row r="15" spans="1:14" ht="15.75" customHeight="1">
      <c r="A15" s="9"/>
      <c r="B15" s="43" t="s">
        <v>51</v>
      </c>
      <c r="C15" s="14">
        <f>IF(D14="","",IF(ABS(C14+D14)=ABS(C14)+ABS(D14),IF(C14&lt;0,-1,1)*(C14-D14)/D14,"Turn"))</f>
        <v>-0.18372080104435742</v>
      </c>
      <c r="D15" s="14">
        <f t="shared" ref="D15:M15" si="6">IF(E14="","",IF(ABS(D14+E14)=ABS(D14)+ABS(E14),IF(D14&lt;0,-1,1)*(D14-E14)/E14,"Turn"))</f>
        <v>-0.73883617688022285</v>
      </c>
      <c r="E15" s="14">
        <f t="shared" si="6"/>
        <v>0.23085164798371435</v>
      </c>
      <c r="F15" s="14" t="str">
        <f t="shared" si="6"/>
        <v/>
      </c>
      <c r="G15" s="14" t="str">
        <f t="shared" si="6"/>
        <v/>
      </c>
      <c r="H15" s="14" t="str">
        <f t="shared" si="6"/>
        <v/>
      </c>
      <c r="I15" s="14" t="str">
        <f t="shared" si="6"/>
        <v/>
      </c>
      <c r="J15" s="14" t="str">
        <f t="shared" si="6"/>
        <v/>
      </c>
      <c r="K15" s="14" t="str">
        <f t="shared" si="6"/>
        <v/>
      </c>
      <c r="L15" s="14" t="str">
        <f t="shared" si="6"/>
        <v/>
      </c>
      <c r="M15" s="198" t="str">
        <f t="shared" si="6"/>
        <v/>
      </c>
      <c r="N15" s="6"/>
    </row>
    <row r="16" spans="1:14" ht="15.75" customHeight="1">
      <c r="A16" s="9"/>
      <c r="B16" s="43" t="s">
        <v>52</v>
      </c>
      <c r="C16" s="136">
        <f>IF(C14="","",C14*(1-Operation!$D$18))</f>
        <v>58777</v>
      </c>
      <c r="D16" s="136">
        <f>IF(D14="","",D14*(1-Operation!$D$18))</f>
        <v>72006</v>
      </c>
      <c r="E16" s="136">
        <f>IF(E14="","",E14*(1-Operation!$D$18))</f>
        <v>275712</v>
      </c>
      <c r="F16" s="136">
        <f>IF(F14="","",F14*(1-Operation!$D$18))</f>
        <v>224001</v>
      </c>
      <c r="G16" s="136" t="str">
        <f>IF(G14="","",G14*(1-Operation!$D$18))</f>
        <v/>
      </c>
      <c r="H16" s="136" t="str">
        <f>IF(H14="","",H14*(1-Operation!$D$18))</f>
        <v/>
      </c>
      <c r="I16" s="136" t="str">
        <f>IF(I14="","",I14*(1-Operation!$D$18))</f>
        <v/>
      </c>
      <c r="J16" s="136" t="str">
        <f>IF(J14="","",J14*(1-Operation!$D$18))</f>
        <v/>
      </c>
      <c r="K16" s="136" t="str">
        <f>IF(K14="","",K14*(1-Operation!$D$18))</f>
        <v/>
      </c>
      <c r="L16" s="136" t="str">
        <f>IF(L14="","",L14*(1-Operation!$D$18))</f>
        <v/>
      </c>
      <c r="M16" s="223" t="str">
        <f>IF(M14="","",M14*(1-Operation!$D$18))</f>
        <v/>
      </c>
      <c r="N16" s="6"/>
    </row>
    <row r="17" spans="1:14" ht="15.75" customHeight="1">
      <c r="A17" s="9"/>
      <c r="B17" s="135" t="s">
        <v>53</v>
      </c>
      <c r="C17" s="122">
        <f t="shared" ref="C17:M17" si="7">IF(C7="","",C16/C7)</f>
        <v>4.0755265935096111E-2</v>
      </c>
      <c r="D17" s="122">
        <f t="shared" si="7"/>
        <v>4.0700740522180902E-2</v>
      </c>
      <c r="E17" s="122">
        <f t="shared" si="7"/>
        <v>0.16197829338590986</v>
      </c>
      <c r="F17" s="122">
        <f t="shared" si="7"/>
        <v>0.16192039624057217</v>
      </c>
      <c r="G17" s="122" t="str">
        <f t="shared" si="7"/>
        <v/>
      </c>
      <c r="H17" s="122" t="str">
        <f t="shared" si="7"/>
        <v/>
      </c>
      <c r="I17" s="122" t="str">
        <f t="shared" si="7"/>
        <v/>
      </c>
      <c r="J17" s="122" t="str">
        <f t="shared" si="7"/>
        <v/>
      </c>
      <c r="K17" s="122" t="str">
        <f t="shared" si="7"/>
        <v/>
      </c>
      <c r="L17" s="122" t="str">
        <f t="shared" si="7"/>
        <v/>
      </c>
      <c r="M17" s="224" t="str">
        <f t="shared" si="7"/>
        <v/>
      </c>
      <c r="N17" s="6"/>
    </row>
    <row r="18" spans="1:14" ht="15.75" customHeight="1">
      <c r="A18" s="9"/>
      <c r="B18" s="43" t="s">
        <v>236</v>
      </c>
      <c r="C18" s="137">
        <v>863</v>
      </c>
      <c r="D18" s="137">
        <v>1613</v>
      </c>
      <c r="E18" s="137">
        <v>2645</v>
      </c>
      <c r="F18" s="137">
        <v>299</v>
      </c>
      <c r="G18" s="137"/>
      <c r="H18" s="137"/>
      <c r="I18" s="137"/>
      <c r="J18" s="137"/>
      <c r="K18" s="137"/>
      <c r="L18" s="137"/>
      <c r="M18" s="225"/>
      <c r="N18" s="6"/>
    </row>
    <row r="19" spans="1:14" ht="15.75" customHeight="1">
      <c r="A19" s="9"/>
      <c r="B19" s="43" t="s">
        <v>54</v>
      </c>
      <c r="C19" s="34">
        <v>64730</v>
      </c>
      <c r="D19" s="34">
        <v>92093</v>
      </c>
      <c r="E19" s="34">
        <v>223781</v>
      </c>
      <c r="F19" s="34">
        <v>185164</v>
      </c>
      <c r="G19" s="34"/>
      <c r="H19" s="34"/>
      <c r="I19" s="34"/>
      <c r="J19" s="34"/>
      <c r="K19" s="34"/>
      <c r="L19" s="34"/>
      <c r="M19" s="221"/>
      <c r="N19" s="6"/>
    </row>
    <row r="20" spans="1:14" ht="15.75" customHeight="1">
      <c r="A20" s="9"/>
      <c r="B20" s="43" t="s">
        <v>249</v>
      </c>
      <c r="C20" s="14">
        <f>IF(D19="","",IF(ABS(C19+D19)=ABS(C19)+ABS(D19),IF(C19&lt;0,-1,1)*(C19-D19)/D19,"Turn"))</f>
        <v>-0.29712355987968686</v>
      </c>
      <c r="D20" s="14">
        <f t="shared" ref="D20:M20" si="8">IF(E19="","",IF(ABS(D19+E19)=ABS(D19)+ABS(E19),IF(D19&lt;0,-1,1)*(D19-E19)/E19,"Turn"))</f>
        <v>-0.58846818988207217</v>
      </c>
      <c r="E20" s="14">
        <f t="shared" si="8"/>
        <v>0.20855565876736298</v>
      </c>
      <c r="F20" s="14" t="str">
        <f t="shared" si="8"/>
        <v/>
      </c>
      <c r="G20" s="14" t="str">
        <f t="shared" si="8"/>
        <v/>
      </c>
      <c r="H20" s="14" t="str">
        <f t="shared" si="8"/>
        <v/>
      </c>
      <c r="I20" s="14" t="str">
        <f t="shared" si="8"/>
        <v/>
      </c>
      <c r="J20" s="14" t="str">
        <f t="shared" si="8"/>
        <v/>
      </c>
      <c r="K20" s="14" t="str">
        <f t="shared" si="8"/>
        <v/>
      </c>
      <c r="L20" s="14" t="str">
        <f t="shared" si="8"/>
        <v/>
      </c>
      <c r="M20" s="198" t="str">
        <f t="shared" si="8"/>
        <v/>
      </c>
      <c r="N20" s="6"/>
    </row>
    <row r="21" spans="1:14" ht="15.75" customHeight="1">
      <c r="A21" s="9"/>
      <c r="B21" s="43" t="s">
        <v>55</v>
      </c>
      <c r="C21" s="169">
        <v>3155075</v>
      </c>
      <c r="D21" s="34">
        <v>3103683</v>
      </c>
      <c r="E21" s="34">
        <v>1398268</v>
      </c>
      <c r="F21" s="34">
        <v>1034632</v>
      </c>
      <c r="G21" s="34"/>
      <c r="H21" s="34"/>
      <c r="I21" s="34"/>
      <c r="J21" s="34"/>
      <c r="K21" s="34"/>
      <c r="L21" s="34"/>
      <c r="M21" s="221"/>
      <c r="N21" s="6"/>
    </row>
    <row r="22" spans="1:14" ht="15.75" customHeight="1">
      <c r="A22" s="9"/>
      <c r="B22" s="43" t="s">
        <v>56</v>
      </c>
      <c r="C22" s="169">
        <v>734476</v>
      </c>
      <c r="D22" s="34">
        <v>677999</v>
      </c>
      <c r="E22" s="34">
        <v>1352795</v>
      </c>
      <c r="F22" s="34">
        <v>1205068</v>
      </c>
      <c r="G22" s="34"/>
      <c r="H22" s="34"/>
      <c r="I22" s="34"/>
      <c r="J22" s="34"/>
      <c r="K22" s="34"/>
      <c r="L22" s="34"/>
      <c r="M22" s="221"/>
      <c r="N22" s="6"/>
    </row>
    <row r="23" spans="1:14" ht="15.5" customHeight="1">
      <c r="A23" s="9"/>
      <c r="B23" s="43" t="s">
        <v>57</v>
      </c>
      <c r="C23" s="169">
        <v>6202</v>
      </c>
      <c r="D23" s="34">
        <v>5517</v>
      </c>
      <c r="E23" s="34">
        <v>301783</v>
      </c>
      <c r="F23" s="34">
        <v>3225</v>
      </c>
      <c r="G23" s="34"/>
      <c r="H23" s="34"/>
      <c r="I23" s="34"/>
      <c r="J23" s="34"/>
      <c r="K23" s="34"/>
      <c r="L23" s="34"/>
      <c r="M23" s="221"/>
      <c r="N23" s="6"/>
    </row>
    <row r="24" spans="1:14" ht="15.75" customHeight="1">
      <c r="A24" s="9"/>
      <c r="B24" s="134" t="s">
        <v>58</v>
      </c>
      <c r="C24" s="248">
        <v>6202</v>
      </c>
      <c r="D24" s="133">
        <v>5517</v>
      </c>
      <c r="E24" s="133">
        <v>1783</v>
      </c>
      <c r="F24" s="133">
        <v>3225</v>
      </c>
      <c r="G24" s="133"/>
      <c r="H24" s="133"/>
      <c r="I24" s="133"/>
      <c r="J24" s="133"/>
      <c r="K24" s="133"/>
      <c r="L24" s="133"/>
      <c r="M24" s="226"/>
      <c r="N24" s="6"/>
    </row>
    <row r="25" spans="1:14" ht="15.75" customHeight="1">
      <c r="A25" s="9"/>
      <c r="B25" s="43" t="s">
        <v>59</v>
      </c>
      <c r="C25" s="169">
        <v>10412</v>
      </c>
      <c r="D25" s="34">
        <v>9392</v>
      </c>
      <c r="E25" s="34">
        <v>5096</v>
      </c>
      <c r="F25" s="34">
        <v>6880</v>
      </c>
      <c r="G25" s="34"/>
      <c r="H25" s="34"/>
      <c r="I25" s="34"/>
      <c r="J25" s="34"/>
      <c r="K25" s="34"/>
      <c r="L25" s="34"/>
      <c r="M25" s="221"/>
      <c r="N25" s="6"/>
    </row>
    <row r="26" spans="1:14" ht="15.75" customHeight="1">
      <c r="A26" s="9"/>
      <c r="B26" s="134" t="s">
        <v>60</v>
      </c>
      <c r="C26" s="168">
        <v>10412</v>
      </c>
      <c r="D26" s="133">
        <v>9392</v>
      </c>
      <c r="E26" s="133">
        <v>5096</v>
      </c>
      <c r="F26" s="133">
        <v>6880</v>
      </c>
      <c r="G26" s="133"/>
      <c r="H26" s="133"/>
      <c r="I26" s="133"/>
      <c r="J26" s="133"/>
      <c r="K26" s="133"/>
      <c r="L26" s="133"/>
      <c r="M26" s="226"/>
      <c r="N26" s="6"/>
    </row>
    <row r="27" spans="1:14" ht="15.75" customHeight="1">
      <c r="A27" s="9"/>
      <c r="B27" s="43" t="s">
        <v>61</v>
      </c>
      <c r="C27" s="26">
        <f t="shared" ref="C27:M27" si="9">IF(C7="","",C23+C25)</f>
        <v>16614</v>
      </c>
      <c r="D27" s="26">
        <f t="shared" si="9"/>
        <v>14909</v>
      </c>
      <c r="E27" s="26">
        <f t="shared" si="9"/>
        <v>306879</v>
      </c>
      <c r="F27" s="26">
        <f t="shared" si="9"/>
        <v>10105</v>
      </c>
      <c r="G27" s="26" t="str">
        <f t="shared" si="9"/>
        <v/>
      </c>
      <c r="H27" s="26" t="str">
        <f t="shared" si="9"/>
        <v/>
      </c>
      <c r="I27" s="26" t="str">
        <f t="shared" si="9"/>
        <v/>
      </c>
      <c r="J27" s="26" t="str">
        <f t="shared" si="9"/>
        <v/>
      </c>
      <c r="K27" s="26" t="str">
        <f t="shared" si="9"/>
        <v/>
      </c>
      <c r="L27" s="26" t="str">
        <f t="shared" si="9"/>
        <v/>
      </c>
      <c r="M27" s="222" t="str">
        <f t="shared" si="9"/>
        <v/>
      </c>
      <c r="N27" s="6"/>
    </row>
    <row r="28" spans="1:14" ht="15.75" customHeight="1">
      <c r="A28" s="9"/>
      <c r="B28" s="43" t="s">
        <v>62</v>
      </c>
      <c r="C28" s="169">
        <v>2819770</v>
      </c>
      <c r="D28" s="34">
        <v>2735259</v>
      </c>
      <c r="E28" s="34">
        <v>250534</v>
      </c>
      <c r="F28" s="34">
        <v>13930</v>
      </c>
      <c r="G28" s="34"/>
      <c r="H28" s="34"/>
      <c r="I28" s="34"/>
      <c r="J28" s="34"/>
      <c r="K28" s="34"/>
      <c r="L28" s="34"/>
      <c r="M28" s="221"/>
      <c r="N28" s="6"/>
    </row>
    <row r="29" spans="1:14" ht="15.75" customHeight="1">
      <c r="A29" s="9"/>
      <c r="B29" s="134" t="s">
        <v>201</v>
      </c>
      <c r="C29" s="168">
        <v>2812473</v>
      </c>
      <c r="D29" s="133">
        <v>2733761</v>
      </c>
      <c r="E29" s="133">
        <v>247681</v>
      </c>
      <c r="F29" s="133">
        <v>13234</v>
      </c>
      <c r="G29" s="133"/>
      <c r="H29" s="133"/>
      <c r="I29" s="133"/>
      <c r="J29" s="133"/>
      <c r="K29" s="133"/>
      <c r="L29" s="133"/>
      <c r="M29" s="226"/>
      <c r="N29" s="6"/>
    </row>
    <row r="30" spans="1:14" ht="15.75" customHeight="1">
      <c r="A30" s="9"/>
      <c r="B30" s="43" t="s">
        <v>63</v>
      </c>
      <c r="C30" s="169">
        <v>187570</v>
      </c>
      <c r="D30" s="34">
        <v>197933</v>
      </c>
      <c r="E30" s="34">
        <v>172844</v>
      </c>
      <c r="F30" s="34">
        <v>159191</v>
      </c>
      <c r="G30" s="34"/>
      <c r="H30" s="34"/>
      <c r="I30" s="34"/>
      <c r="J30" s="34"/>
      <c r="K30" s="34"/>
      <c r="L30" s="34"/>
      <c r="M30" s="221"/>
      <c r="N30" s="6"/>
    </row>
    <row r="31" spans="1:14" ht="15.75" customHeight="1">
      <c r="A31" s="9"/>
      <c r="B31" s="43" t="s">
        <v>217</v>
      </c>
      <c r="C31" s="169">
        <v>1335766</v>
      </c>
      <c r="D31" s="34">
        <v>2558156</v>
      </c>
      <c r="E31" s="34">
        <v>884766</v>
      </c>
      <c r="F31" s="34">
        <v>511035</v>
      </c>
      <c r="G31" s="34"/>
      <c r="H31" s="34"/>
      <c r="I31" s="34"/>
      <c r="J31" s="34"/>
      <c r="K31" s="34"/>
      <c r="L31" s="34"/>
      <c r="M31" s="221"/>
      <c r="N31" s="6"/>
    </row>
    <row r="32" spans="1:14" ht="15.75" customHeight="1">
      <c r="A32" s="9"/>
      <c r="B32" s="43" t="s">
        <v>64</v>
      </c>
      <c r="C32" s="14">
        <f t="shared" ref="C32:M32" si="10">IF(D7="","",(C30-D30)/C30)</f>
        <v>-5.5248707149330917E-2</v>
      </c>
      <c r="D32" s="14">
        <f t="shared" si="10"/>
        <v>0.12675501305997483</v>
      </c>
      <c r="E32" s="14">
        <f t="shared" si="10"/>
        <v>7.8990303394968875E-2</v>
      </c>
      <c r="F32" s="14" t="str">
        <f t="shared" si="10"/>
        <v/>
      </c>
      <c r="G32" s="14" t="str">
        <f t="shared" si="10"/>
        <v/>
      </c>
      <c r="H32" s="14" t="str">
        <f t="shared" si="10"/>
        <v/>
      </c>
      <c r="I32" s="14" t="str">
        <f t="shared" si="10"/>
        <v/>
      </c>
      <c r="J32" s="14" t="str">
        <f t="shared" si="10"/>
        <v/>
      </c>
      <c r="K32" s="14" t="str">
        <f t="shared" si="10"/>
        <v/>
      </c>
      <c r="L32" s="14" t="str">
        <f t="shared" si="10"/>
        <v/>
      </c>
      <c r="M32" s="198" t="str">
        <f t="shared" si="10"/>
        <v/>
      </c>
      <c r="N32" s="6"/>
    </row>
    <row r="33" spans="1:14" ht="15.75" customHeight="1">
      <c r="A33" s="9"/>
      <c r="B33" s="43" t="s">
        <v>65</v>
      </c>
      <c r="C33" s="228">
        <f>IF(D7="","",(C7-D7)*Asset_Model!$D$65)</f>
        <v>-27988.032799999997</v>
      </c>
      <c r="D33" s="228">
        <f>IF(E7="","",(D7-E7)*Asset_Model!$D$65)</f>
        <v>5735.4567999999999</v>
      </c>
      <c r="E33" s="228">
        <f>IF(F7="","",(E7-F7)*Asset_Model!$D$65)</f>
        <v>27285.171199999997</v>
      </c>
      <c r="F33" s="228" t="str">
        <f>IF(G7="","",(F7-G7)*Asset_Model!$D$65)</f>
        <v/>
      </c>
      <c r="G33" s="228" t="str">
        <f>IF(H7="","",(G7-H7)*Asset_Model!$D$65)</f>
        <v/>
      </c>
      <c r="H33" s="228" t="str">
        <f>IF(I7="","",(H7-I7)*Asset_Model!$D$65)</f>
        <v/>
      </c>
      <c r="I33" s="228" t="str">
        <f>IF(J7="","",(I7-J7)*Asset_Model!$D$65)</f>
        <v/>
      </c>
      <c r="J33" s="228" t="str">
        <f>IF(K7="","",(J7-K7)*Asset_Model!$D$65)</f>
        <v/>
      </c>
      <c r="K33" s="228" t="str">
        <f>IF(L7="","",(K7-L7)*Asset_Model!$D$65)</f>
        <v/>
      </c>
      <c r="L33" s="228" t="str">
        <f>IF(M7="","",(L7-M7)*Asset_Model!$D$65)</f>
        <v/>
      </c>
      <c r="M33" s="229" t="str">
        <f>IF(N7="","",(M7-N7)*Asset_Model!$D$65)</f>
        <v/>
      </c>
      <c r="N33" s="6"/>
    </row>
    <row r="34" spans="1:14" ht="15.75" customHeight="1">
      <c r="A34" s="9"/>
      <c r="B34" s="43" t="s">
        <v>77</v>
      </c>
      <c r="C34" s="136">
        <f t="shared" ref="C34:M34" si="11">IF(D7="","",C30-D30+C33+IF($C$55="Yes",C57,0))</f>
        <v>-38351.032800000001</v>
      </c>
      <c r="D34" s="136">
        <f t="shared" si="11"/>
        <v>30824.4568</v>
      </c>
      <c r="E34" s="136">
        <f t="shared" si="11"/>
        <v>40938.171199999997</v>
      </c>
      <c r="F34" s="136" t="str">
        <f t="shared" si="11"/>
        <v/>
      </c>
      <c r="G34" s="136" t="str">
        <f t="shared" si="11"/>
        <v/>
      </c>
      <c r="H34" s="136" t="str">
        <f t="shared" si="11"/>
        <v/>
      </c>
      <c r="I34" s="136" t="str">
        <f t="shared" si="11"/>
        <v/>
      </c>
      <c r="J34" s="136" t="str">
        <f t="shared" si="11"/>
        <v/>
      </c>
      <c r="K34" s="136" t="str">
        <f t="shared" si="11"/>
        <v/>
      </c>
      <c r="L34" s="136" t="str">
        <f t="shared" si="11"/>
        <v/>
      </c>
      <c r="M34" s="310" t="str">
        <f t="shared" si="11"/>
        <v/>
      </c>
      <c r="N34" s="6"/>
    </row>
    <row r="35" spans="1:14" ht="15.75" customHeight="1">
      <c r="A35" s="9"/>
      <c r="B35" s="227" t="s">
        <v>329</v>
      </c>
      <c r="C35" s="219">
        <f t="shared" ref="C35:M35" si="12">IF(C34="","",C34/C16)</f>
        <v>-0.65248367218469816</v>
      </c>
      <c r="D35" s="219">
        <f t="shared" si="12"/>
        <v>0.42808178207371606</v>
      </c>
      <c r="E35" s="219">
        <f t="shared" si="12"/>
        <v>0.14848164461467037</v>
      </c>
      <c r="F35" s="219" t="str">
        <f t="shared" si="12"/>
        <v/>
      </c>
      <c r="G35" s="219" t="str">
        <f t="shared" si="12"/>
        <v/>
      </c>
      <c r="H35" s="219" t="str">
        <f t="shared" si="12"/>
        <v/>
      </c>
      <c r="I35" s="219" t="str">
        <f t="shared" si="12"/>
        <v/>
      </c>
      <c r="J35" s="219" t="str">
        <f t="shared" si="12"/>
        <v/>
      </c>
      <c r="K35" s="219" t="str">
        <f t="shared" si="12"/>
        <v/>
      </c>
      <c r="L35" s="219" t="str">
        <f t="shared" si="12"/>
        <v/>
      </c>
      <c r="M35" s="220" t="str">
        <f t="shared" si="12"/>
        <v/>
      </c>
      <c r="N35" s="6"/>
    </row>
    <row r="36" spans="1:14" ht="15.75" customHeight="1">
      <c r="A36" s="9"/>
      <c r="B36" s="46" t="s">
        <v>67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1:14" ht="15.75" customHeight="1">
      <c r="A37" s="9"/>
      <c r="B37" s="161" t="s">
        <v>237</v>
      </c>
      <c r="C37" s="158">
        <v>96133</v>
      </c>
      <c r="D37" s="158">
        <v>58667</v>
      </c>
      <c r="E37" s="158">
        <v>221311</v>
      </c>
      <c r="F37" s="158">
        <v>220950</v>
      </c>
      <c r="G37" s="158"/>
      <c r="H37" s="158"/>
      <c r="I37" s="158"/>
      <c r="J37" s="158"/>
      <c r="K37" s="158"/>
      <c r="L37" s="158"/>
      <c r="M37" s="159"/>
      <c r="N37" s="6"/>
    </row>
    <row r="38" spans="1:14" ht="15.75" customHeight="1">
      <c r="A38" s="9"/>
      <c r="B38" s="135" t="s">
        <v>68</v>
      </c>
      <c r="C38" s="157">
        <v>0</v>
      </c>
      <c r="D38" s="157">
        <v>0</v>
      </c>
      <c r="E38" s="157">
        <v>0</v>
      </c>
      <c r="F38" s="157">
        <v>0</v>
      </c>
      <c r="G38" s="157"/>
      <c r="H38" s="157"/>
      <c r="I38" s="157"/>
      <c r="J38" s="157"/>
      <c r="K38" s="157"/>
      <c r="L38" s="157"/>
      <c r="M38" s="160"/>
      <c r="N38" s="6"/>
    </row>
    <row r="39" spans="1:14" ht="15.75" customHeight="1">
      <c r="A39" s="9"/>
      <c r="B39" s="135" t="s">
        <v>197</v>
      </c>
      <c r="C39" s="163">
        <f t="shared" ref="C39:M39" si="13">IF(C37="","",C37*$C$4/Common_Shares)</f>
        <v>7.209992765422174E-2</v>
      </c>
      <c r="D39" s="163">
        <f t="shared" si="13"/>
        <v>4.4000358416883142E-2</v>
      </c>
      <c r="E39" s="163">
        <f t="shared" si="13"/>
        <v>0.16598365898373574</v>
      </c>
      <c r="F39" s="163">
        <f t="shared" si="13"/>
        <v>0.16571290831660609</v>
      </c>
      <c r="G39" s="163" t="str">
        <f t="shared" si="13"/>
        <v/>
      </c>
      <c r="H39" s="163" t="str">
        <f t="shared" si="13"/>
        <v/>
      </c>
      <c r="I39" s="163" t="str">
        <f t="shared" si="13"/>
        <v/>
      </c>
      <c r="J39" s="163" t="str">
        <f t="shared" si="13"/>
        <v/>
      </c>
      <c r="K39" s="163" t="str">
        <f t="shared" si="13"/>
        <v/>
      </c>
      <c r="L39" s="163" t="str">
        <f t="shared" si="13"/>
        <v/>
      </c>
      <c r="M39" s="164" t="str">
        <f t="shared" si="13"/>
        <v/>
      </c>
      <c r="N39" s="6"/>
    </row>
    <row r="40" spans="1:14" ht="15.75" customHeight="1">
      <c r="A40" s="9"/>
      <c r="B40" s="162" t="s">
        <v>198</v>
      </c>
      <c r="C40" s="165">
        <f t="shared" ref="C40:M40" si="14">IF(C38="","",C38*$C$4/Common_Shares)</f>
        <v>0</v>
      </c>
      <c r="D40" s="165">
        <f t="shared" si="14"/>
        <v>0</v>
      </c>
      <c r="E40" s="165">
        <f t="shared" si="14"/>
        <v>0</v>
      </c>
      <c r="F40" s="165">
        <f t="shared" si="14"/>
        <v>0</v>
      </c>
      <c r="G40" s="165" t="str">
        <f t="shared" si="14"/>
        <v/>
      </c>
      <c r="H40" s="165" t="str">
        <f t="shared" si="14"/>
        <v/>
      </c>
      <c r="I40" s="165" t="str">
        <f t="shared" si="14"/>
        <v/>
      </c>
      <c r="J40" s="165" t="str">
        <f t="shared" si="14"/>
        <v/>
      </c>
      <c r="K40" s="165" t="str">
        <f t="shared" si="14"/>
        <v/>
      </c>
      <c r="L40" s="165" t="str">
        <f t="shared" si="14"/>
        <v/>
      </c>
      <c r="M40" s="166" t="str">
        <f t="shared" si="14"/>
        <v/>
      </c>
      <c r="N40" s="6"/>
    </row>
    <row r="41" spans="1:14" ht="15.75" customHeight="1">
      <c r="A41" s="9"/>
      <c r="B41" s="86" t="s">
        <v>69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</row>
    <row r="42" spans="1:14" ht="15.75" customHeight="1">
      <c r="A42" s="9"/>
      <c r="B42" s="42" t="s">
        <v>70</v>
      </c>
      <c r="C42" s="47">
        <f>IF(C29="","",C25/C28)</f>
        <v>3.6924997428868312E-3</v>
      </c>
      <c r="D42" s="47">
        <f t="shared" ref="D42:M42" si="15">IF(D29="","",D25/D29)</f>
        <v>3.4355600215234617E-3</v>
      </c>
      <c r="E42" s="47">
        <f t="shared" si="15"/>
        <v>2.0574852330215075E-2</v>
      </c>
      <c r="F42" s="47">
        <f t="shared" si="15"/>
        <v>0.51987305425419372</v>
      </c>
      <c r="G42" s="47" t="str">
        <f t="shared" si="15"/>
        <v/>
      </c>
      <c r="H42" s="47" t="str">
        <f t="shared" si="15"/>
        <v/>
      </c>
      <c r="I42" s="47" t="str">
        <f t="shared" si="15"/>
        <v/>
      </c>
      <c r="J42" s="47" t="str">
        <f t="shared" si="15"/>
        <v/>
      </c>
      <c r="K42" s="47" t="str">
        <f t="shared" si="15"/>
        <v/>
      </c>
      <c r="L42" s="47" t="str">
        <f t="shared" si="15"/>
        <v/>
      </c>
      <c r="M42" s="197" t="str">
        <f t="shared" si="15"/>
        <v/>
      </c>
      <c r="N42" s="6"/>
    </row>
    <row r="43" spans="1:14" ht="15.75" customHeight="1">
      <c r="A43" s="9"/>
      <c r="B43" s="43" t="s">
        <v>232</v>
      </c>
      <c r="C43" s="14">
        <f t="shared" ref="C43:M43" si="16">IF(C29="","",C27/C29)</f>
        <v>5.9072567096644128E-3</v>
      </c>
      <c r="D43" s="14">
        <f t="shared" si="16"/>
        <v>5.4536588970286719E-3</v>
      </c>
      <c r="E43" s="14">
        <f t="shared" si="16"/>
        <v>1.2390090479285856</v>
      </c>
      <c r="F43" s="14">
        <f t="shared" si="16"/>
        <v>0.76356354843584706</v>
      </c>
      <c r="G43" s="14" t="str">
        <f t="shared" si="16"/>
        <v/>
      </c>
      <c r="H43" s="14" t="str">
        <f t="shared" si="16"/>
        <v/>
      </c>
      <c r="I43" s="14" t="str">
        <f t="shared" si="16"/>
        <v/>
      </c>
      <c r="J43" s="14" t="str">
        <f t="shared" si="16"/>
        <v/>
      </c>
      <c r="K43" s="14" t="str">
        <f t="shared" si="16"/>
        <v/>
      </c>
      <c r="L43" s="14" t="str">
        <f t="shared" si="16"/>
        <v/>
      </c>
      <c r="M43" s="198" t="str">
        <f t="shared" si="16"/>
        <v/>
      </c>
      <c r="N43" s="6"/>
    </row>
    <row r="44" spans="1:14" ht="15.75" customHeight="1">
      <c r="A44" s="9"/>
      <c r="B44" s="43" t="s">
        <v>71</v>
      </c>
      <c r="C44" s="49">
        <f t="shared" ref="C44:M44" si="17">IF(C14="","",IF(C27&lt;=0,"-",C14/C27))</f>
        <v>3.5377994462501503</v>
      </c>
      <c r="D44" s="49">
        <f t="shared" si="17"/>
        <v>4.8297001810986648</v>
      </c>
      <c r="E44" s="49">
        <f t="shared" si="17"/>
        <v>0.89843879835374851</v>
      </c>
      <c r="F44" s="49">
        <f t="shared" si="17"/>
        <v>22.167342899554676</v>
      </c>
      <c r="G44" s="49" t="str">
        <f t="shared" si="17"/>
        <v/>
      </c>
      <c r="H44" s="49" t="str">
        <f t="shared" si="17"/>
        <v/>
      </c>
      <c r="I44" s="49" t="str">
        <f t="shared" si="17"/>
        <v/>
      </c>
      <c r="J44" s="49" t="str">
        <f t="shared" si="17"/>
        <v/>
      </c>
      <c r="K44" s="49" t="str">
        <f t="shared" si="17"/>
        <v/>
      </c>
      <c r="L44" s="49" t="str">
        <f t="shared" si="17"/>
        <v/>
      </c>
      <c r="M44" s="199" t="str">
        <f t="shared" si="17"/>
        <v/>
      </c>
      <c r="N44" s="6"/>
    </row>
    <row r="45" spans="1:14" ht="15.75" customHeight="1">
      <c r="A45" s="9"/>
      <c r="B45" s="43" t="s">
        <v>72</v>
      </c>
      <c r="C45" s="14">
        <f t="shared" ref="C45:M45" si="18">IF(C16="","",IF(C18&lt;=0,"-",C18/C16))</f>
        <v>1.4682613947632577E-2</v>
      </c>
      <c r="D45" s="14">
        <f t="shared" si="18"/>
        <v>2.2400911035191512E-2</v>
      </c>
      <c r="E45" s="14">
        <f t="shared" si="18"/>
        <v>9.5933437790157849E-3</v>
      </c>
      <c r="F45" s="14">
        <f t="shared" si="18"/>
        <v>1.3348154695737966E-3</v>
      </c>
      <c r="G45" s="14" t="str">
        <f t="shared" si="18"/>
        <v/>
      </c>
      <c r="H45" s="14" t="str">
        <f t="shared" si="18"/>
        <v/>
      </c>
      <c r="I45" s="14" t="str">
        <f t="shared" si="18"/>
        <v/>
      </c>
      <c r="J45" s="14" t="str">
        <f t="shared" si="18"/>
        <v/>
      </c>
      <c r="K45" s="14" t="str">
        <f t="shared" si="18"/>
        <v/>
      </c>
      <c r="L45" s="14" t="str">
        <f t="shared" si="18"/>
        <v/>
      </c>
      <c r="M45" s="198" t="str">
        <f t="shared" si="18"/>
        <v/>
      </c>
      <c r="N45" s="6"/>
    </row>
    <row r="46" spans="1:14" ht="15.75" customHeight="1">
      <c r="A46" s="9"/>
      <c r="B46" s="45" t="s">
        <v>73</v>
      </c>
      <c r="C46" s="50">
        <f t="shared" ref="C46:M46" si="19">IF(C21="","",C21/C22)</f>
        <v>4.2956815471165841</v>
      </c>
      <c r="D46" s="50">
        <f t="shared" si="19"/>
        <v>4.5777102916081001</v>
      </c>
      <c r="E46" s="50">
        <f t="shared" si="19"/>
        <v>1.0336141100462377</v>
      </c>
      <c r="F46" s="50">
        <f t="shared" si="19"/>
        <v>0.85856731736300362</v>
      </c>
      <c r="G46" s="50" t="str">
        <f t="shared" si="19"/>
        <v/>
      </c>
      <c r="H46" s="50" t="str">
        <f t="shared" si="19"/>
        <v/>
      </c>
      <c r="I46" s="50" t="str">
        <f t="shared" si="19"/>
        <v/>
      </c>
      <c r="J46" s="50" t="str">
        <f t="shared" si="19"/>
        <v/>
      </c>
      <c r="K46" s="50" t="str">
        <f t="shared" si="19"/>
        <v/>
      </c>
      <c r="L46" s="50" t="str">
        <f t="shared" si="19"/>
        <v/>
      </c>
      <c r="M46" s="200" t="str">
        <f t="shared" si="19"/>
        <v/>
      </c>
      <c r="N46" s="6"/>
    </row>
    <row r="47" spans="1:14" ht="15.75" customHeight="1">
      <c r="A47" s="9"/>
      <c r="B47" s="357" t="s">
        <v>323</v>
      </c>
      <c r="C47" s="351"/>
      <c r="D47" s="351"/>
      <c r="E47" s="351"/>
      <c r="F47" s="351"/>
      <c r="G47" s="351"/>
      <c r="H47" s="351"/>
      <c r="I47" s="351"/>
      <c r="J47" s="351"/>
      <c r="K47" s="351"/>
      <c r="L47" s="351"/>
      <c r="M47" s="351"/>
      <c r="N47" s="6"/>
    </row>
    <row r="48" spans="1:14" ht="15.75" customHeight="1">
      <c r="A48" s="9"/>
      <c r="B48" s="161" t="s">
        <v>324</v>
      </c>
      <c r="C48" s="354">
        <f>C13</f>
        <v>4.0755265935096111E-2</v>
      </c>
      <c r="D48" s="354">
        <f>D13</f>
        <v>4.0700740522180902E-2</v>
      </c>
      <c r="E48" s="354">
        <f t="shared" ref="E48:M48" si="20">E13</f>
        <v>0.16197829338590986</v>
      </c>
      <c r="F48" s="354">
        <f t="shared" si="20"/>
        <v>0.16192039624057217</v>
      </c>
      <c r="G48" s="354" t="str">
        <f t="shared" si="20"/>
        <v/>
      </c>
      <c r="H48" s="354" t="str">
        <f t="shared" si="20"/>
        <v/>
      </c>
      <c r="I48" s="354" t="str">
        <f t="shared" si="20"/>
        <v/>
      </c>
      <c r="J48" s="354" t="str">
        <f t="shared" si="20"/>
        <v/>
      </c>
      <c r="K48" s="354" t="str">
        <f t="shared" si="20"/>
        <v/>
      </c>
      <c r="L48" s="354" t="str">
        <f t="shared" si="20"/>
        <v/>
      </c>
      <c r="M48" s="354" t="str">
        <f t="shared" si="20"/>
        <v/>
      </c>
      <c r="N48" s="6"/>
    </row>
    <row r="49" spans="1:14" ht="15.75" customHeight="1">
      <c r="A49" s="9"/>
      <c r="B49" s="135" t="s">
        <v>325</v>
      </c>
      <c r="C49" s="352">
        <f>C7/(C29+C21+C22)</f>
        <v>0.21518782982573623</v>
      </c>
      <c r="D49" s="352">
        <f>IF(D7="","",D7/(D29+D21+D22))</f>
        <v>0.27153287965223549</v>
      </c>
      <c r="E49" s="352">
        <f t="shared" ref="E49:M49" si="21">IF(E7="","",E7/(E29+E21+E22))</f>
        <v>0.56762231120762563</v>
      </c>
      <c r="F49" s="352">
        <f t="shared" si="21"/>
        <v>0.61404461914996178</v>
      </c>
      <c r="G49" s="352" t="str">
        <f t="shared" si="21"/>
        <v/>
      </c>
      <c r="H49" s="352" t="str">
        <f t="shared" si="21"/>
        <v/>
      </c>
      <c r="I49" s="352" t="str">
        <f t="shared" si="21"/>
        <v/>
      </c>
      <c r="J49" s="352" t="str">
        <f t="shared" si="21"/>
        <v/>
      </c>
      <c r="K49" s="352" t="str">
        <f t="shared" si="21"/>
        <v/>
      </c>
      <c r="L49" s="352" t="str">
        <f t="shared" si="21"/>
        <v/>
      </c>
      <c r="M49" s="352" t="str">
        <f t="shared" si="21"/>
        <v/>
      </c>
      <c r="N49" s="6"/>
    </row>
    <row r="50" spans="1:14" ht="15.75" customHeight="1">
      <c r="A50" s="9"/>
      <c r="B50" s="135" t="s">
        <v>326</v>
      </c>
      <c r="C50" s="353">
        <f>(C29+C21+C22)/C29</f>
        <v>2.3829647431282006</v>
      </c>
      <c r="D50" s="353">
        <f>IF(D29="","",(D29+D21+D22)/D29)</f>
        <v>2.3833257552507332</v>
      </c>
      <c r="E50" s="353">
        <f t="shared" ref="E50:M50" si="22">IF(E29="","",(E29+E21+E22)/E29)</f>
        <v>12.107283158578978</v>
      </c>
      <c r="F50" s="353">
        <f t="shared" si="22"/>
        <v>170.23832552516245</v>
      </c>
      <c r="G50" s="353" t="str">
        <f t="shared" si="22"/>
        <v/>
      </c>
      <c r="H50" s="353" t="str">
        <f t="shared" si="22"/>
        <v/>
      </c>
      <c r="I50" s="353" t="str">
        <f t="shared" si="22"/>
        <v/>
      </c>
      <c r="J50" s="353" t="str">
        <f t="shared" si="22"/>
        <v/>
      </c>
      <c r="K50" s="353" t="str">
        <f t="shared" si="22"/>
        <v/>
      </c>
      <c r="L50" s="353" t="str">
        <f t="shared" si="22"/>
        <v/>
      </c>
      <c r="M50" s="353" t="str">
        <f t="shared" si="22"/>
        <v/>
      </c>
      <c r="N50" s="6"/>
    </row>
    <row r="51" spans="1:14" ht="15.75" customHeight="1">
      <c r="A51" s="9"/>
      <c r="B51" s="135" t="s">
        <v>327</v>
      </c>
      <c r="C51" s="356">
        <f>C48*C49*C50</f>
        <v>2.0898689516308248E-2</v>
      </c>
      <c r="D51" s="356">
        <f>IF(D48="","",D48*D49*D50)</f>
        <v>2.6339537362629725E-2</v>
      </c>
      <c r="E51" s="356">
        <f t="shared" ref="E51:M51" si="23">IF(E48="","",E48*E49*E50)</f>
        <v>1.1131738001703806</v>
      </c>
      <c r="F51" s="356">
        <f t="shared" si="23"/>
        <v>16.926175003778148</v>
      </c>
      <c r="G51" s="356" t="str">
        <f t="shared" si="23"/>
        <v/>
      </c>
      <c r="H51" s="356" t="str">
        <f t="shared" si="23"/>
        <v/>
      </c>
      <c r="I51" s="356" t="str">
        <f t="shared" si="23"/>
        <v/>
      </c>
      <c r="J51" s="356" t="str">
        <f t="shared" si="23"/>
        <v/>
      </c>
      <c r="K51" s="356" t="str">
        <f t="shared" si="23"/>
        <v/>
      </c>
      <c r="L51" s="356" t="str">
        <f t="shared" si="23"/>
        <v/>
      </c>
      <c r="M51" s="356" t="str">
        <f t="shared" si="23"/>
        <v/>
      </c>
      <c r="N51" s="6"/>
    </row>
    <row r="52" spans="1:14" ht="15.75" customHeight="1">
      <c r="A52" s="9"/>
      <c r="B52" s="358" t="s">
        <v>328</v>
      </c>
      <c r="C52" s="355">
        <f>C35*C51</f>
        <v>-1.3636053679448659E-2</v>
      </c>
      <c r="D52" s="355">
        <f>IF(D35="","",D35*D51)</f>
        <v>1.1275476093191759E-2</v>
      </c>
      <c r="E52" s="355">
        <f t="shared" ref="E52:M52" si="24">IF(E35="","",E35*E51)</f>
        <v>0.16528587659126054</v>
      </c>
      <c r="F52" s="355" t="str">
        <f t="shared" si="24"/>
        <v/>
      </c>
      <c r="G52" s="355" t="str">
        <f t="shared" si="24"/>
        <v/>
      </c>
      <c r="H52" s="355" t="str">
        <f t="shared" si="24"/>
        <v/>
      </c>
      <c r="I52" s="355" t="str">
        <f t="shared" si="24"/>
        <v/>
      </c>
      <c r="J52" s="355" t="str">
        <f t="shared" si="24"/>
        <v/>
      </c>
      <c r="K52" s="355" t="str">
        <f t="shared" si="24"/>
        <v/>
      </c>
      <c r="L52" s="355" t="str">
        <f t="shared" si="24"/>
        <v/>
      </c>
      <c r="M52" s="355" t="str">
        <f t="shared" si="24"/>
        <v/>
      </c>
      <c r="N52" s="6"/>
    </row>
    <row r="53" spans="1:14" ht="15.75" customHeight="1">
      <c r="A53" s="9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</row>
    <row r="54" spans="1:14" ht="15.75" customHeight="1">
      <c r="A54" s="9"/>
      <c r="B54" s="21" t="s">
        <v>74</v>
      </c>
      <c r="C54" s="51"/>
      <c r="D54" s="51"/>
      <c r="E54" s="51"/>
      <c r="F54" s="51"/>
    </row>
    <row r="55" spans="1:14" ht="15" customHeight="1">
      <c r="A55" s="9"/>
      <c r="B55" s="5" t="s">
        <v>75</v>
      </c>
      <c r="C55" s="309" t="s">
        <v>76</v>
      </c>
      <c r="D55" s="6"/>
      <c r="F55" s="6"/>
      <c r="G55" s="6"/>
      <c r="H55" s="6"/>
      <c r="I55" s="6"/>
      <c r="J55" s="6"/>
      <c r="K55" s="6"/>
      <c r="L55" s="6"/>
      <c r="M55" s="6"/>
    </row>
    <row r="56" spans="1:14" ht="15" customHeight="1">
      <c r="A56" s="9"/>
      <c r="B56" s="5"/>
      <c r="C56" s="306"/>
      <c r="D56" s="6"/>
      <c r="E56" s="306"/>
      <c r="F56" s="6"/>
      <c r="G56" s="6"/>
      <c r="H56" s="6"/>
      <c r="I56" s="6"/>
      <c r="J56" s="6"/>
      <c r="K56" s="6"/>
      <c r="L56" s="6"/>
      <c r="M56" s="6"/>
    </row>
    <row r="57" spans="1:14" ht="15.75" customHeight="1">
      <c r="A57" s="9"/>
      <c r="B57" s="307" t="s">
        <v>271</v>
      </c>
      <c r="C57" s="158"/>
      <c r="D57" s="158"/>
      <c r="E57" s="158"/>
      <c r="F57" s="158"/>
      <c r="G57" s="158"/>
      <c r="H57" s="158"/>
      <c r="I57" s="158"/>
      <c r="J57" s="158"/>
      <c r="K57" s="158"/>
      <c r="L57" s="158"/>
      <c r="M57" s="159"/>
    </row>
    <row r="58" spans="1:14" ht="15.75" customHeight="1">
      <c r="A58" s="9"/>
      <c r="B58" s="308" t="s">
        <v>272</v>
      </c>
      <c r="C58" s="312" t="str">
        <f t="shared" ref="C58:M58" si="25">IF(C57="","",C57/C7)</f>
        <v/>
      </c>
      <c r="D58" s="312" t="str">
        <f t="shared" si="25"/>
        <v/>
      </c>
      <c r="E58" s="312" t="str">
        <f t="shared" si="25"/>
        <v/>
      </c>
      <c r="F58" s="312" t="str">
        <f t="shared" si="25"/>
        <v/>
      </c>
      <c r="G58" s="312" t="str">
        <f t="shared" si="25"/>
        <v/>
      </c>
      <c r="H58" s="312" t="str">
        <f t="shared" si="25"/>
        <v/>
      </c>
      <c r="I58" s="312" t="str">
        <f t="shared" si="25"/>
        <v/>
      </c>
      <c r="J58" s="312" t="str">
        <f t="shared" si="25"/>
        <v/>
      </c>
      <c r="K58" s="312" t="str">
        <f t="shared" si="25"/>
        <v/>
      </c>
      <c r="L58" s="312" t="str">
        <f t="shared" si="25"/>
        <v/>
      </c>
      <c r="M58" s="313" t="str">
        <f t="shared" si="25"/>
        <v/>
      </c>
    </row>
    <row r="59" spans="1:14" ht="15.75" customHeight="1">
      <c r="A59" s="9"/>
      <c r="B59" s="52"/>
      <c r="C59" s="55"/>
      <c r="D59" s="55"/>
    </row>
    <row r="60" spans="1:14" ht="15.75" customHeight="1">
      <c r="A60" s="9"/>
      <c r="B60" s="52"/>
      <c r="C60" s="55"/>
      <c r="D60" s="55"/>
    </row>
    <row r="61" spans="1:14" ht="15.75" customHeight="1">
      <c r="A61" s="9"/>
      <c r="B61" s="52"/>
      <c r="C61" s="55"/>
      <c r="D61" s="55"/>
    </row>
    <row r="62" spans="1:14" ht="15.75" customHeight="1">
      <c r="A62" s="9"/>
      <c r="B62" s="52"/>
      <c r="C62" s="56"/>
      <c r="D62" s="56"/>
    </row>
    <row r="63" spans="1:14" ht="15.75" customHeight="1">
      <c r="A63" s="9"/>
      <c r="B63" s="52"/>
      <c r="C63" s="55"/>
      <c r="D63" s="55"/>
    </row>
    <row r="64" spans="1:14" ht="15.75" customHeight="1">
      <c r="A64" s="9"/>
      <c r="B64" s="52"/>
      <c r="C64" s="56"/>
      <c r="D64" s="56"/>
    </row>
    <row r="65" spans="1:1" ht="15.75" customHeight="1">
      <c r="A65" s="9"/>
    </row>
    <row r="66" spans="1:1" ht="15.75" customHeight="1">
      <c r="A66" s="9"/>
    </row>
    <row r="67" spans="1:1" ht="15.75" customHeight="1">
      <c r="A67" s="9"/>
    </row>
    <row r="68" spans="1:1" ht="15.75" customHeight="1">
      <c r="A68" s="9"/>
    </row>
    <row r="69" spans="1:1" ht="15.75" customHeight="1">
      <c r="A69" s="9"/>
    </row>
    <row r="70" spans="1:1" ht="15.75" customHeight="1">
      <c r="A70" s="9"/>
    </row>
    <row r="71" spans="1:1" ht="15.75" customHeight="1">
      <c r="A71" s="9"/>
    </row>
    <row r="72" spans="1:1" ht="15.75" customHeight="1">
      <c r="A72" s="9"/>
    </row>
    <row r="73" spans="1:1" ht="15.75" customHeight="1">
      <c r="A73" s="9"/>
    </row>
    <row r="74" spans="1:1" ht="15.75" customHeight="1">
      <c r="A74" s="9"/>
    </row>
    <row r="75" spans="1:1" ht="15.75" customHeight="1">
      <c r="A75" s="9"/>
    </row>
    <row r="76" spans="1:1" ht="15.75" customHeight="1">
      <c r="A76" s="9"/>
    </row>
    <row r="77" spans="1:1" ht="15.75" customHeight="1">
      <c r="A77" s="9"/>
    </row>
    <row r="78" spans="1:1" ht="15.75" customHeight="1">
      <c r="A78" s="9"/>
    </row>
    <row r="79" spans="1:1" ht="15.75" customHeight="1">
      <c r="A79" s="9"/>
    </row>
    <row r="80" spans="1:1" ht="15.75" customHeight="1">
      <c r="A80" s="9"/>
    </row>
    <row r="81" spans="1:1" ht="15.75" customHeight="1">
      <c r="A81" s="9"/>
    </row>
    <row r="82" spans="1:1" ht="15.75" customHeight="1">
      <c r="A82" s="9"/>
    </row>
    <row r="83" spans="1:1" ht="15.75" customHeight="1">
      <c r="A83" s="9"/>
    </row>
    <row r="84" spans="1:1" ht="15.75" customHeight="1">
      <c r="A84" s="9"/>
    </row>
    <row r="85" spans="1:1" ht="15.75" customHeight="1">
      <c r="A85" s="9"/>
    </row>
    <row r="86" spans="1:1" ht="15.75" customHeight="1">
      <c r="A86" s="9"/>
    </row>
    <row r="87" spans="1:1" ht="15.75" customHeight="1">
      <c r="A87" s="9"/>
    </row>
    <row r="88" spans="1:1" ht="15.75" customHeight="1">
      <c r="A88" s="9"/>
    </row>
    <row r="89" spans="1:1" ht="15.75" customHeight="1">
      <c r="A89" s="9"/>
    </row>
    <row r="90" spans="1:1" ht="15.75" customHeight="1">
      <c r="A90" s="9"/>
    </row>
    <row r="91" spans="1:1" ht="15.75" customHeight="1">
      <c r="A91" s="9"/>
    </row>
    <row r="92" spans="1:1" ht="15.75" customHeight="1">
      <c r="A92" s="9"/>
    </row>
    <row r="93" spans="1:1" ht="15.75" customHeight="1">
      <c r="A93" s="9"/>
    </row>
    <row r="94" spans="1:1" ht="15.75" customHeight="1">
      <c r="A94" s="9"/>
    </row>
    <row r="95" spans="1:1" ht="15.75" customHeight="1">
      <c r="A95" s="9"/>
    </row>
    <row r="96" spans="1:1" ht="15.75" customHeight="1">
      <c r="A96" s="9"/>
    </row>
    <row r="97" spans="1:1" ht="15.75" customHeight="1">
      <c r="A97" s="9"/>
    </row>
    <row r="98" spans="1:1" ht="15.75" customHeight="1">
      <c r="A98" s="9"/>
    </row>
    <row r="99" spans="1:1" ht="15.75" customHeight="1">
      <c r="A99" s="9"/>
    </row>
    <row r="100" spans="1:1" ht="15.75" customHeight="1">
      <c r="A100" s="9"/>
    </row>
    <row r="101" spans="1:1" ht="15.75" customHeight="1">
      <c r="A101" s="9"/>
    </row>
    <row r="102" spans="1:1" ht="15.75" customHeight="1">
      <c r="A102" s="9"/>
    </row>
    <row r="103" spans="1:1" ht="15.75" customHeight="1">
      <c r="A103" s="9"/>
    </row>
    <row r="104" spans="1:1" ht="15.75" customHeight="1">
      <c r="A104" s="9"/>
    </row>
    <row r="105" spans="1:1" ht="15.75" customHeight="1">
      <c r="A105" s="9"/>
    </row>
    <row r="106" spans="1:1" ht="15.75" customHeight="1">
      <c r="A106" s="9"/>
    </row>
    <row r="107" spans="1:1" ht="15.75" customHeight="1">
      <c r="A107" s="9"/>
    </row>
    <row r="108" spans="1:1" ht="15.75" customHeight="1">
      <c r="A108" s="9"/>
    </row>
    <row r="109" spans="1:1" ht="15.75" customHeight="1">
      <c r="A109" s="9"/>
    </row>
    <row r="110" spans="1:1" ht="15.75" customHeight="1">
      <c r="A110" s="9"/>
    </row>
    <row r="111" spans="1:1" ht="15.75" customHeight="1">
      <c r="A111" s="9"/>
    </row>
    <row r="112" spans="1:1" ht="15.75" customHeight="1">
      <c r="A112" s="9"/>
    </row>
    <row r="113" spans="1:1" ht="15.75" customHeight="1">
      <c r="A113" s="9"/>
    </row>
    <row r="114" spans="1:1" ht="15.75" customHeight="1">
      <c r="A114" s="9"/>
    </row>
    <row r="115" spans="1:1" ht="15.75" customHeight="1">
      <c r="A115" s="9"/>
    </row>
    <row r="116" spans="1:1" ht="15.75" customHeight="1">
      <c r="A116" s="9"/>
    </row>
    <row r="117" spans="1:1" ht="15.75" customHeight="1">
      <c r="A117" s="9"/>
    </row>
    <row r="118" spans="1:1" ht="15.75" customHeight="1">
      <c r="A118" s="9"/>
    </row>
    <row r="119" spans="1:1" ht="15.75" customHeight="1">
      <c r="A119" s="9"/>
    </row>
    <row r="120" spans="1:1" ht="15.75" customHeight="1">
      <c r="A120" s="9"/>
    </row>
    <row r="121" spans="1:1" ht="15.75" customHeight="1">
      <c r="A121" s="9"/>
    </row>
    <row r="122" spans="1:1" ht="15.75" customHeight="1">
      <c r="A122" s="9"/>
    </row>
    <row r="123" spans="1:1" ht="15.75" customHeight="1">
      <c r="A123" s="9"/>
    </row>
    <row r="124" spans="1:1" ht="15.75" customHeight="1">
      <c r="A124" s="9"/>
    </row>
    <row r="125" spans="1:1" ht="15.75" customHeight="1">
      <c r="A125" s="9"/>
    </row>
    <row r="126" spans="1:1" ht="15.75" customHeight="1">
      <c r="A126" s="9"/>
    </row>
    <row r="127" spans="1:1" ht="15.75" customHeight="1">
      <c r="A127" s="9"/>
    </row>
    <row r="128" spans="1:1" ht="15.75" customHeight="1">
      <c r="A128" s="9"/>
    </row>
    <row r="129" spans="1:1" ht="15.75" customHeight="1">
      <c r="A129" s="9"/>
    </row>
    <row r="130" spans="1:1" ht="15.75" customHeight="1">
      <c r="A130" s="9"/>
    </row>
    <row r="131" spans="1:1" ht="15.75" customHeight="1">
      <c r="A131" s="9"/>
    </row>
    <row r="132" spans="1:1" ht="15.75" customHeight="1">
      <c r="A132" s="9"/>
    </row>
    <row r="133" spans="1:1" ht="15.75" customHeight="1">
      <c r="A133" s="9"/>
    </row>
    <row r="134" spans="1:1" ht="15.75" customHeight="1">
      <c r="A134" s="9"/>
    </row>
    <row r="135" spans="1:1" ht="15.75" customHeight="1">
      <c r="A135" s="9"/>
    </row>
    <row r="136" spans="1:1" ht="15.75" customHeight="1">
      <c r="A136" s="9"/>
    </row>
    <row r="137" spans="1:1" ht="15.75" customHeight="1">
      <c r="A137" s="9"/>
    </row>
    <row r="138" spans="1:1" ht="15.75" customHeight="1">
      <c r="A138" s="9"/>
    </row>
    <row r="139" spans="1:1" ht="15.75" customHeight="1">
      <c r="A139" s="9"/>
    </row>
    <row r="140" spans="1:1" ht="15.75" customHeight="1">
      <c r="A140" s="9"/>
    </row>
    <row r="141" spans="1:1" ht="15.75" customHeight="1">
      <c r="A141" s="9"/>
    </row>
    <row r="142" spans="1:1" ht="15.75" customHeight="1">
      <c r="A142" s="9"/>
    </row>
    <row r="143" spans="1:1" ht="15.75" customHeight="1">
      <c r="A143" s="9"/>
    </row>
    <row r="144" spans="1:1" ht="15.75" customHeight="1">
      <c r="A144" s="9"/>
    </row>
    <row r="145" spans="1:1" ht="15.75" customHeight="1">
      <c r="A145" s="9"/>
    </row>
    <row r="146" spans="1:1" ht="15.75" customHeight="1">
      <c r="A146" s="9"/>
    </row>
    <row r="147" spans="1:1" ht="15.75" customHeight="1">
      <c r="A147" s="9"/>
    </row>
    <row r="148" spans="1:1" ht="15.75" customHeight="1">
      <c r="A148" s="9"/>
    </row>
    <row r="149" spans="1:1" ht="15.75" customHeight="1">
      <c r="A149" s="9"/>
    </row>
    <row r="150" spans="1:1" ht="15.75" customHeight="1">
      <c r="A150" s="9"/>
    </row>
    <row r="151" spans="1:1" ht="15.75" customHeight="1">
      <c r="A151" s="9"/>
    </row>
    <row r="152" spans="1:1" ht="15.75" customHeight="1">
      <c r="A152" s="9"/>
    </row>
    <row r="153" spans="1:1" ht="15.75" customHeight="1">
      <c r="A153" s="9"/>
    </row>
    <row r="154" spans="1:1" ht="15.75" customHeight="1">
      <c r="A154" s="9"/>
    </row>
    <row r="155" spans="1:1" ht="15.75" customHeight="1">
      <c r="A155" s="9"/>
    </row>
    <row r="156" spans="1:1" ht="15.75" customHeight="1">
      <c r="A156" s="9"/>
    </row>
    <row r="157" spans="1:1" ht="15.75" customHeight="1">
      <c r="A157" s="9"/>
    </row>
    <row r="158" spans="1:1" ht="15.75" customHeight="1">
      <c r="A158" s="9"/>
    </row>
    <row r="159" spans="1:1" ht="15.75" customHeight="1">
      <c r="A159" s="9"/>
    </row>
    <row r="160" spans="1:1" ht="15.75" customHeight="1">
      <c r="A160" s="9"/>
    </row>
    <row r="161" spans="1:1" ht="15.75" customHeight="1">
      <c r="A161" s="9"/>
    </row>
    <row r="162" spans="1:1" ht="15.75" customHeight="1">
      <c r="A162" s="9"/>
    </row>
    <row r="163" spans="1:1" ht="15.75" customHeight="1">
      <c r="A163" s="9"/>
    </row>
    <row r="164" spans="1:1" ht="15.75" customHeight="1">
      <c r="A164" s="9"/>
    </row>
    <row r="165" spans="1:1" ht="15.75" customHeight="1">
      <c r="A165" s="9"/>
    </row>
    <row r="166" spans="1:1" ht="15.75" customHeight="1">
      <c r="A166" s="9"/>
    </row>
    <row r="167" spans="1:1" ht="15.75" customHeight="1">
      <c r="A167" s="9"/>
    </row>
    <row r="168" spans="1:1" ht="15.75" customHeight="1">
      <c r="A168" s="9"/>
    </row>
    <row r="169" spans="1:1" ht="15.75" customHeight="1">
      <c r="A169" s="9"/>
    </row>
    <row r="170" spans="1:1" ht="15.75" customHeight="1">
      <c r="A170" s="9"/>
    </row>
    <row r="171" spans="1:1" ht="15.75" customHeight="1">
      <c r="A171" s="9"/>
    </row>
    <row r="172" spans="1:1" ht="15.75" customHeight="1">
      <c r="A172" s="9"/>
    </row>
    <row r="173" spans="1:1" ht="15.75" customHeight="1">
      <c r="A173" s="9"/>
    </row>
    <row r="174" spans="1:1" ht="15.75" customHeight="1">
      <c r="A174" s="9"/>
    </row>
    <row r="175" spans="1:1" ht="15.75" customHeight="1">
      <c r="A175" s="9"/>
    </row>
    <row r="176" spans="1:1" ht="15.75" customHeight="1">
      <c r="A176" s="9"/>
    </row>
    <row r="177" spans="1:1" ht="15.75" customHeight="1">
      <c r="A177" s="9"/>
    </row>
    <row r="178" spans="1:1" ht="15.75" customHeight="1">
      <c r="A178" s="9"/>
    </row>
    <row r="179" spans="1:1" ht="15.75" customHeight="1">
      <c r="A179" s="9"/>
    </row>
    <row r="180" spans="1:1" ht="15.75" customHeight="1">
      <c r="A180" s="9"/>
    </row>
    <row r="181" spans="1:1" ht="15.75" customHeight="1">
      <c r="A181" s="9"/>
    </row>
    <row r="182" spans="1:1" ht="15.75" customHeight="1">
      <c r="A182" s="9"/>
    </row>
    <row r="183" spans="1:1" ht="15.75" customHeight="1">
      <c r="A183" s="9"/>
    </row>
    <row r="184" spans="1:1" ht="15.75" customHeight="1">
      <c r="A184" s="9"/>
    </row>
    <row r="185" spans="1:1" ht="15.75" customHeight="1">
      <c r="A185" s="9"/>
    </row>
    <row r="186" spans="1:1" ht="15.75" customHeight="1">
      <c r="A186" s="9"/>
    </row>
    <row r="187" spans="1:1" ht="15.75" customHeight="1">
      <c r="A187" s="9"/>
    </row>
    <row r="188" spans="1:1" ht="15.75" customHeight="1">
      <c r="A188" s="9"/>
    </row>
    <row r="189" spans="1:1" ht="15.75" customHeight="1">
      <c r="A189" s="9"/>
    </row>
    <row r="190" spans="1:1" ht="15.75" customHeight="1">
      <c r="A190" s="9"/>
    </row>
    <row r="191" spans="1:1" ht="15.75" customHeight="1">
      <c r="A191" s="9"/>
    </row>
    <row r="192" spans="1:1" ht="15.75" customHeight="1">
      <c r="A192" s="9"/>
    </row>
    <row r="193" spans="1:1" ht="15.75" customHeight="1">
      <c r="A193" s="9"/>
    </row>
    <row r="194" spans="1:1" ht="15.75" customHeight="1">
      <c r="A194" s="9"/>
    </row>
    <row r="195" spans="1:1" ht="15.75" customHeight="1">
      <c r="A195" s="9"/>
    </row>
    <row r="196" spans="1:1" ht="15.75" customHeight="1">
      <c r="A196" s="9"/>
    </row>
    <row r="197" spans="1:1" ht="15.75" customHeight="1">
      <c r="A197" s="9"/>
    </row>
    <row r="198" spans="1:1" ht="15.75" customHeight="1">
      <c r="A198" s="9"/>
    </row>
    <row r="199" spans="1:1" ht="15.75" customHeight="1">
      <c r="A199" s="9"/>
    </row>
    <row r="200" spans="1:1" ht="15.75" customHeight="1">
      <c r="A200" s="9"/>
    </row>
    <row r="201" spans="1:1" ht="15.75" customHeight="1">
      <c r="A201" s="9"/>
    </row>
    <row r="202" spans="1:1" ht="15.75" customHeight="1">
      <c r="A202" s="9"/>
    </row>
    <row r="203" spans="1:1" ht="15.75" customHeight="1">
      <c r="A203" s="9"/>
    </row>
    <row r="204" spans="1:1" ht="15.75" customHeight="1">
      <c r="A204" s="9"/>
    </row>
    <row r="205" spans="1:1" ht="15.75" customHeight="1">
      <c r="A205" s="9"/>
    </row>
    <row r="206" spans="1:1" ht="15.75" customHeight="1">
      <c r="A206" s="9"/>
    </row>
    <row r="207" spans="1:1" ht="15.75" customHeight="1">
      <c r="A207" s="9"/>
    </row>
    <row r="208" spans="1:1" ht="15.75" customHeight="1">
      <c r="A208" s="9"/>
    </row>
    <row r="209" spans="1:1" ht="15.75" customHeight="1">
      <c r="A209" s="9"/>
    </row>
    <row r="210" spans="1:1" ht="15.75" customHeight="1">
      <c r="A210" s="9"/>
    </row>
    <row r="211" spans="1:1" ht="15.75" customHeight="1">
      <c r="A211" s="9"/>
    </row>
    <row r="212" spans="1:1" ht="15.75" customHeight="1">
      <c r="A212" s="9"/>
    </row>
    <row r="213" spans="1:1" ht="15.75" customHeight="1">
      <c r="A213" s="9"/>
    </row>
    <row r="214" spans="1:1" ht="15.75" customHeight="1">
      <c r="A214" s="9"/>
    </row>
    <row r="215" spans="1:1" ht="15.75" customHeight="1">
      <c r="A215" s="9"/>
    </row>
    <row r="216" spans="1:1" ht="15.75" customHeight="1">
      <c r="A216" s="9"/>
    </row>
    <row r="217" spans="1:1" ht="15.75" customHeight="1">
      <c r="A217" s="9"/>
    </row>
    <row r="218" spans="1:1" ht="15.75" customHeight="1">
      <c r="A218" s="9"/>
    </row>
    <row r="219" spans="1:1" ht="15.75" customHeight="1">
      <c r="A219" s="9"/>
    </row>
    <row r="220" spans="1:1" ht="15.75" customHeight="1">
      <c r="A220" s="9"/>
    </row>
    <row r="221" spans="1:1" ht="15.75" customHeight="1">
      <c r="A221" s="9"/>
    </row>
    <row r="222" spans="1:1" ht="15.75" customHeight="1">
      <c r="A222" s="9"/>
    </row>
    <row r="223" spans="1:1" ht="15.75" customHeight="1">
      <c r="A223" s="9"/>
    </row>
    <row r="224" spans="1:1" ht="15.75" customHeight="1">
      <c r="A224" s="9"/>
    </row>
    <row r="225" spans="1:1" ht="15.75" customHeight="1">
      <c r="A225" s="9"/>
    </row>
    <row r="226" spans="1:1" ht="15.75" customHeight="1">
      <c r="A226" s="9"/>
    </row>
    <row r="227" spans="1:1" ht="15.75" customHeight="1">
      <c r="A227" s="9"/>
    </row>
    <row r="228" spans="1:1" ht="15.75" customHeight="1">
      <c r="A228" s="9"/>
    </row>
    <row r="229" spans="1:1" ht="15.75" customHeight="1">
      <c r="A229" s="9"/>
    </row>
    <row r="230" spans="1:1" ht="15.75" customHeight="1">
      <c r="A230" s="9"/>
    </row>
    <row r="231" spans="1:1" ht="15.75" customHeight="1">
      <c r="A231" s="9"/>
    </row>
    <row r="232" spans="1:1" ht="15.75" customHeight="1">
      <c r="A232" s="9"/>
    </row>
    <row r="233" spans="1:1" ht="15.75" customHeight="1">
      <c r="A233" s="9"/>
    </row>
    <row r="234" spans="1:1" ht="15.75" customHeight="1">
      <c r="A234" s="9"/>
    </row>
    <row r="235" spans="1:1" ht="15.75" customHeight="1">
      <c r="A235" s="9"/>
    </row>
    <row r="236" spans="1:1" ht="15.75" customHeight="1">
      <c r="A236" s="9"/>
    </row>
    <row r="237" spans="1:1" ht="15.75" customHeight="1">
      <c r="A237" s="9"/>
    </row>
    <row r="238" spans="1:1" ht="15.75" customHeight="1">
      <c r="A238" s="9"/>
    </row>
    <row r="239" spans="1:1" ht="15.75" customHeight="1">
      <c r="A239" s="9"/>
    </row>
    <row r="240" spans="1:1" ht="15.75" customHeight="1">
      <c r="A240" s="9"/>
    </row>
    <row r="241" spans="1:1" ht="15.75" customHeight="1">
      <c r="A241" s="9"/>
    </row>
    <row r="242" spans="1:1" ht="15.75" customHeight="1">
      <c r="A242" s="9"/>
    </row>
    <row r="243" spans="1:1" ht="15.75" customHeight="1">
      <c r="A243" s="9"/>
    </row>
    <row r="244" spans="1:1" ht="15.75" customHeight="1">
      <c r="A244" s="9"/>
    </row>
    <row r="245" spans="1:1" ht="15.75" customHeight="1">
      <c r="A245" s="9"/>
    </row>
    <row r="246" spans="1:1" ht="15.75" customHeight="1">
      <c r="A246" s="9"/>
    </row>
    <row r="247" spans="1:1" ht="15.75" customHeight="1">
      <c r="A247" s="9"/>
    </row>
    <row r="248" spans="1:1" ht="15.75" customHeight="1">
      <c r="A248" s="9"/>
    </row>
    <row r="249" spans="1:1" ht="15.75" customHeight="1">
      <c r="A249" s="9"/>
    </row>
    <row r="250" spans="1:1" ht="15.75" customHeight="1">
      <c r="A250" s="9"/>
    </row>
    <row r="251" spans="1:1" ht="15.75" customHeight="1">
      <c r="A251" s="9"/>
    </row>
    <row r="252" spans="1:1" ht="15.75" customHeight="1">
      <c r="A252" s="9"/>
    </row>
    <row r="253" spans="1:1" ht="15.75" customHeight="1">
      <c r="A253" s="9"/>
    </row>
    <row r="254" spans="1:1" ht="15.75" customHeight="1">
      <c r="A254" s="9"/>
    </row>
    <row r="255" spans="1:1" ht="15.75" customHeight="1">
      <c r="A255" s="9"/>
    </row>
    <row r="256" spans="1:1" ht="15.75" customHeight="1">
      <c r="A256" s="9"/>
    </row>
    <row r="257" spans="1:1" ht="15.75" customHeight="1">
      <c r="A257" s="9"/>
    </row>
    <row r="258" spans="1:1" ht="15.75" customHeight="1">
      <c r="A258" s="9"/>
    </row>
    <row r="259" spans="1:1" ht="15.75" customHeight="1">
      <c r="A259" s="9"/>
    </row>
    <row r="260" spans="1:1" ht="15.75" customHeight="1">
      <c r="A260" s="9"/>
    </row>
    <row r="261" spans="1:1" ht="15.75" customHeight="1">
      <c r="A261" s="9"/>
    </row>
    <row r="262" spans="1:1" ht="15.75" customHeight="1">
      <c r="A262" s="9"/>
    </row>
    <row r="263" spans="1:1" ht="15.75" customHeight="1">
      <c r="A263" s="9"/>
    </row>
    <row r="264" spans="1:1" ht="15.75" customHeight="1">
      <c r="A264" s="9"/>
    </row>
    <row r="265" spans="1:1" ht="15.75" customHeight="1"/>
    <row r="266" spans="1:1" ht="15.75" customHeight="1"/>
    <row r="267" spans="1:1" ht="15.75" customHeight="1"/>
    <row r="268" spans="1:1" ht="15.75" customHeight="1"/>
    <row r="269" spans="1:1" ht="15.75" customHeight="1"/>
    <row r="270" spans="1:1" ht="15.75" customHeight="1"/>
    <row r="271" spans="1:1" ht="15.75" customHeight="1"/>
    <row r="272" spans="1:1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</sheetData>
  <phoneticPr fontId="31" type="noConversion"/>
  <conditionalFormatting sqref="B57:M58">
    <cfRule type="expression" dxfId="11" priority="1">
      <formula>$C$55="No"</formula>
    </cfRule>
  </conditionalFormatting>
  <conditionalFormatting sqref="C7:M35 D42:M46 D48:M52">
    <cfRule type="containsBlanks" dxfId="10" priority="3">
      <formula>LEN(TRIM(C7))=0</formula>
    </cfRule>
  </conditionalFormatting>
  <conditionalFormatting sqref="C37:M40">
    <cfRule type="containsBlanks" dxfId="9" priority="5">
      <formula>LEN(TRIM(C37))=0</formula>
    </cfRule>
  </conditionalFormatting>
  <conditionalFormatting sqref="D17:M18">
    <cfRule type="containsBlanks" dxfId="8" priority="4">
      <formula>LEN(TRIM(D17))=0</formula>
    </cfRule>
  </conditionalFormatting>
  <dataValidations count="4">
    <dataValidation type="decimal" allowBlank="1" showDropDown="1" sqref="D57" xr:uid="{00000000-0002-0000-0100-000000000000}">
      <formula1>1</formula1>
      <formula2>10</formula2>
    </dataValidation>
    <dataValidation allowBlank="1" showInputMessage="1" showErrorMessage="1" sqref="C3" xr:uid="{00000000-0002-0000-0100-000001000000}"/>
    <dataValidation type="list" allowBlank="1" sqref="C55" xr:uid="{00000000-0002-0000-0100-000003000000}">
      <formula1>"Yes,No"</formula1>
    </dataValidation>
    <dataValidation allowBlank="1" sqref="C56" xr:uid="{536BB552-B5C0-4BE0-BE6E-3B4056ED999A}"/>
  </dataValidation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B6D7A8"/>
    <outlinePr summaryBelow="0" summaryRight="0"/>
    <pageSetUpPr fitToPage="1"/>
  </sheetPr>
  <dimension ref="A2:K65"/>
  <sheetViews>
    <sheetView showGridLines="0" zoomScaleNormal="100" workbookViewId="0">
      <selection activeCell="D6" sqref="D6"/>
    </sheetView>
  </sheetViews>
  <sheetFormatPr defaultColWidth="12.453125" defaultRowHeight="15" customHeight="1"/>
  <cols>
    <col min="1" max="1" width="2.453125" style="3" customWidth="1"/>
    <col min="2" max="2" width="27" style="3" customWidth="1"/>
    <col min="3" max="5" width="17.453125" style="3" customWidth="1"/>
    <col min="6" max="6" width="7.453125" style="3" customWidth="1"/>
    <col min="7" max="7" width="2.08984375" style="3" customWidth="1"/>
    <col min="8" max="8" width="18.453125" style="3" bestFit="1" customWidth="1"/>
    <col min="9" max="9" width="13.36328125" style="3" bestFit="1" customWidth="1"/>
    <col min="10" max="10" width="4.6328125" style="3" customWidth="1"/>
    <col min="11" max="11" width="38.81640625" style="3" customWidth="1"/>
    <col min="12" max="16384" width="12.453125" style="3"/>
  </cols>
  <sheetData>
    <row r="2" spans="1:11" ht="15" customHeight="1">
      <c r="A2" s="4"/>
      <c r="B2" s="243" t="s">
        <v>79</v>
      </c>
      <c r="C2" s="243"/>
      <c r="D2" s="11"/>
      <c r="E2" s="12"/>
      <c r="F2" s="12"/>
      <c r="G2" s="12"/>
      <c r="H2" s="12"/>
      <c r="I2" s="12"/>
      <c r="K2" s="311" t="s">
        <v>132</v>
      </c>
    </row>
    <row r="3" spans="1:11" ht="15" customHeight="1">
      <c r="B3" s="5" t="s">
        <v>238</v>
      </c>
      <c r="C3" s="6"/>
      <c r="D3" s="249">
        <v>2819770</v>
      </c>
      <c r="E3" s="149" t="str">
        <f>IF((C46-I46)=D3,"", "Error!")</f>
        <v/>
      </c>
      <c r="F3" s="6"/>
      <c r="G3" s="6"/>
      <c r="H3" s="250" t="s">
        <v>239</v>
      </c>
      <c r="I3" s="251">
        <v>2812473</v>
      </c>
      <c r="K3" s="72"/>
    </row>
    <row r="4" spans="1:11" ht="15" customHeight="1">
      <c r="B4" s="5" t="s">
        <v>213</v>
      </c>
      <c r="C4" s="6"/>
      <c r="D4" s="252">
        <f>D3-I3</f>
        <v>7297</v>
      </c>
      <c r="E4" s="143"/>
      <c r="F4" s="6"/>
      <c r="G4" s="6"/>
      <c r="H4" s="59" t="s">
        <v>80</v>
      </c>
      <c r="I4" s="87">
        <f>(I3*Dashboard!I12*Data!C4)/Dashboard!I5</f>
        <v>2.301144989158737</v>
      </c>
      <c r="K4" s="72"/>
    </row>
    <row r="5" spans="1:11" ht="15" customHeight="1">
      <c r="D5" s="6"/>
      <c r="E5" s="23" t="s">
        <v>81</v>
      </c>
      <c r="I5" s="6"/>
      <c r="K5" s="72"/>
    </row>
    <row r="6" spans="1:11" ht="15" customHeight="1">
      <c r="B6" s="57" t="s">
        <v>361</v>
      </c>
      <c r="C6" s="6"/>
      <c r="D6" s="58">
        <f>E46-I46-E50</f>
        <v>1966624.7000000002</v>
      </c>
      <c r="E6" s="14">
        <f>1-D6/D3</f>
        <v>0.30255847108097467</v>
      </c>
      <c r="F6" s="6"/>
      <c r="G6" s="6"/>
      <c r="H6" s="3" t="s">
        <v>281</v>
      </c>
      <c r="I6" s="68">
        <f>C26/I26</f>
        <v>4.2956815471165841</v>
      </c>
      <c r="J6" s="6"/>
      <c r="K6" s="72"/>
    </row>
    <row r="7" spans="1:11" ht="15" customHeight="1" thickBot="1">
      <c r="B7" s="52" t="s">
        <v>362</v>
      </c>
      <c r="D7" s="60">
        <f>MAX((D6*Exchange_Rate*Data!C4)/Common_Shares, 0)</f>
        <v>1.6090780512242446</v>
      </c>
      <c r="E7" s="48" t="str">
        <f>Dashboard!J4</f>
        <v>HKD</v>
      </c>
      <c r="H7" s="3" t="s">
        <v>282</v>
      </c>
      <c r="I7" s="68">
        <f>C25/I26</f>
        <v>3.8517555372810004</v>
      </c>
      <c r="J7" s="6"/>
      <c r="K7" s="112"/>
    </row>
    <row r="8" spans="1:11" ht="15" customHeight="1">
      <c r="D8" s="6"/>
      <c r="H8" s="3" t="s">
        <v>283</v>
      </c>
      <c r="I8" s="68">
        <f>C24/I26</f>
        <v>3.2124752885050021</v>
      </c>
      <c r="K8" s="72"/>
    </row>
    <row r="9" spans="1:11" ht="15" customHeight="1">
      <c r="A9" s="4"/>
      <c r="B9" s="244" t="s">
        <v>234</v>
      </c>
      <c r="C9" s="231"/>
      <c r="D9" s="247">
        <v>44926</v>
      </c>
      <c r="E9" s="262" t="s">
        <v>330</v>
      </c>
      <c r="F9" s="126"/>
      <c r="G9" s="126"/>
      <c r="H9" s="126"/>
      <c r="I9" s="126"/>
      <c r="K9" s="72"/>
    </row>
    <row r="10" spans="1:11" ht="15" customHeight="1">
      <c r="B10" s="5" t="s">
        <v>82</v>
      </c>
      <c r="C10" s="23" t="s">
        <v>83</v>
      </c>
      <c r="D10" s="23" t="s">
        <v>84</v>
      </c>
      <c r="E10" s="23" t="s">
        <v>85</v>
      </c>
      <c r="F10" s="29" t="s">
        <v>223</v>
      </c>
      <c r="G10" s="6"/>
      <c r="H10" s="62" t="s">
        <v>86</v>
      </c>
      <c r="I10" s="23" t="s">
        <v>83</v>
      </c>
      <c r="K10" s="72"/>
    </row>
    <row r="11" spans="1:11" ht="15" customHeight="1">
      <c r="B11" s="5" t="s">
        <v>87</v>
      </c>
      <c r="C11" s="63">
        <v>903500</v>
      </c>
      <c r="D11" s="64">
        <v>1</v>
      </c>
      <c r="E11" s="26">
        <f t="shared" ref="E11:E21" si="0">C11*D11</f>
        <v>903500</v>
      </c>
      <c r="F11" s="6"/>
      <c r="G11" s="6"/>
      <c r="H11" s="5" t="s">
        <v>88</v>
      </c>
      <c r="I11" s="63">
        <v>0</v>
      </c>
      <c r="J11" s="6"/>
      <c r="K11" s="72"/>
    </row>
    <row r="12" spans="1:11" ht="14">
      <c r="B12" s="3" t="s">
        <v>89</v>
      </c>
      <c r="C12" s="63">
        <v>1455986</v>
      </c>
      <c r="D12" s="64">
        <v>0.95</v>
      </c>
      <c r="E12" s="26">
        <f t="shared" si="0"/>
        <v>1383186.7</v>
      </c>
      <c r="F12" s="6"/>
      <c r="G12" s="6"/>
      <c r="H12" s="5" t="s">
        <v>90</v>
      </c>
      <c r="I12" s="63">
        <v>6202</v>
      </c>
      <c r="J12" s="6"/>
      <c r="K12" s="72"/>
    </row>
    <row r="13" spans="1:11" ht="14">
      <c r="B13" s="5" t="s">
        <v>91</v>
      </c>
      <c r="C13" s="63">
        <v>0</v>
      </c>
      <c r="D13" s="64">
        <v>1</v>
      </c>
      <c r="E13" s="26">
        <f t="shared" si="0"/>
        <v>0</v>
      </c>
      <c r="F13" s="6"/>
      <c r="G13" s="6"/>
      <c r="H13" s="5" t="s">
        <v>92</v>
      </c>
      <c r="I13" s="63">
        <v>0</v>
      </c>
      <c r="J13" s="6"/>
      <c r="K13" s="75"/>
    </row>
    <row r="14" spans="1:11" ht="14">
      <c r="B14" s="5" t="s">
        <v>93</v>
      </c>
      <c r="C14" s="63">
        <v>0</v>
      </c>
      <c r="D14" s="64">
        <v>0.85</v>
      </c>
      <c r="E14" s="26">
        <f t="shared" si="0"/>
        <v>0</v>
      </c>
      <c r="F14" s="6"/>
      <c r="G14" s="6"/>
      <c r="H14" s="3" t="s">
        <v>94</v>
      </c>
      <c r="I14" s="63">
        <v>0</v>
      </c>
      <c r="J14" s="6"/>
      <c r="K14" s="77"/>
    </row>
    <row r="15" spans="1:11" ht="14">
      <c r="B15" s="5" t="s">
        <v>95</v>
      </c>
      <c r="C15" s="63">
        <v>357910</v>
      </c>
      <c r="D15" s="64">
        <v>0.3</v>
      </c>
      <c r="E15" s="26">
        <f t="shared" si="0"/>
        <v>107373</v>
      </c>
      <c r="G15" s="6"/>
      <c r="H15" s="5" t="s">
        <v>96</v>
      </c>
      <c r="I15" s="148">
        <f>I26-SUM(I11:I14)</f>
        <v>728274</v>
      </c>
      <c r="J15" s="6"/>
    </row>
    <row r="16" spans="1:11" ht="14">
      <c r="B16" s="3" t="s">
        <v>94</v>
      </c>
      <c r="C16" s="63">
        <v>0</v>
      </c>
      <c r="D16" s="64">
        <v>0.6</v>
      </c>
      <c r="E16" s="26">
        <f t="shared" si="0"/>
        <v>0</v>
      </c>
      <c r="F16" s="195" t="s">
        <v>224</v>
      </c>
      <c r="G16" s="90">
        <f>IF(F16="Y",0,1)</f>
        <v>0</v>
      </c>
      <c r="H16" s="5"/>
      <c r="I16" s="147"/>
      <c r="J16" s="6"/>
    </row>
    <row r="17" spans="2:10" ht="14">
      <c r="B17" s="5" t="s">
        <v>97</v>
      </c>
      <c r="C17" s="63">
        <v>111626</v>
      </c>
      <c r="D17" s="64">
        <v>0.4</v>
      </c>
      <c r="E17" s="26">
        <f t="shared" si="0"/>
        <v>44650.400000000001</v>
      </c>
      <c r="F17" s="6"/>
      <c r="G17" s="6"/>
      <c r="H17" s="5"/>
      <c r="I17" s="147"/>
      <c r="J17" s="6"/>
    </row>
    <row r="18" spans="2:10" ht="14">
      <c r="B18" s="5" t="s">
        <v>98</v>
      </c>
      <c r="C18" s="63">
        <v>319177</v>
      </c>
      <c r="D18" s="64">
        <v>0.2</v>
      </c>
      <c r="E18" s="26">
        <f t="shared" si="0"/>
        <v>63835.4</v>
      </c>
      <c r="G18" s="6"/>
    </row>
    <row r="19" spans="2:10" ht="14">
      <c r="B19" s="3" t="s">
        <v>99</v>
      </c>
      <c r="C19" s="63">
        <v>0</v>
      </c>
      <c r="D19" s="64">
        <v>0.75</v>
      </c>
      <c r="E19" s="26">
        <f t="shared" si="0"/>
        <v>0</v>
      </c>
      <c r="F19" s="195" t="s">
        <v>224</v>
      </c>
      <c r="G19" s="90">
        <f>IF(F19="Y",0,1)</f>
        <v>0</v>
      </c>
      <c r="H19" s="5"/>
      <c r="I19" s="147"/>
    </row>
    <row r="20" spans="2:10" ht="14">
      <c r="B20" s="5" t="s">
        <v>100</v>
      </c>
      <c r="C20" s="63">
        <v>0</v>
      </c>
      <c r="D20" s="64">
        <v>0.6</v>
      </c>
      <c r="E20" s="26">
        <f t="shared" si="0"/>
        <v>0</v>
      </c>
      <c r="F20" s="195" t="s">
        <v>224</v>
      </c>
      <c r="G20" s="90">
        <f>IF(F20="Y",0,1)</f>
        <v>0</v>
      </c>
      <c r="H20" s="5"/>
      <c r="I20" s="147"/>
    </row>
    <row r="21" spans="2:10" ht="14">
      <c r="B21" s="5" t="s">
        <v>101</v>
      </c>
      <c r="C21" s="63">
        <v>6876</v>
      </c>
      <c r="D21" s="64">
        <v>0.95</v>
      </c>
      <c r="E21" s="26">
        <f t="shared" si="0"/>
        <v>6532.2</v>
      </c>
      <c r="F21" s="6"/>
      <c r="G21" s="6"/>
      <c r="H21" s="5"/>
      <c r="I21" s="147"/>
    </row>
    <row r="22" spans="2:10" ht="15" customHeight="1">
      <c r="B22" s="5" t="s">
        <v>102</v>
      </c>
      <c r="C22" s="63">
        <v>0</v>
      </c>
      <c r="D22" s="64">
        <v>0.2</v>
      </c>
      <c r="E22" s="26">
        <f t="shared" ref="E22" si="1">C22*D22</f>
        <v>0</v>
      </c>
    </row>
    <row r="23" spans="2:10" ht="15" customHeight="1">
      <c r="C23" s="6"/>
      <c r="D23" s="6"/>
      <c r="E23" s="6"/>
      <c r="F23" s="6"/>
      <c r="G23" s="6"/>
    </row>
    <row r="24" spans="2:10" ht="15" customHeight="1">
      <c r="B24" s="65" t="s">
        <v>103</v>
      </c>
      <c r="C24" s="69">
        <f>SUM(C11:C14)</f>
        <v>2359486</v>
      </c>
      <c r="D24" s="67">
        <f>IF(E24=0,0,E24/C24)</f>
        <v>0.96914611911238302</v>
      </c>
      <c r="E24" s="26">
        <f>SUM(E11:E14)</f>
        <v>2286686.7000000002</v>
      </c>
      <c r="F24" s="6"/>
      <c r="G24" s="6"/>
      <c r="H24" s="65" t="s">
        <v>284</v>
      </c>
      <c r="I24" s="68">
        <f>E24/($I$26-I15)</f>
        <v>368.70149951628508</v>
      </c>
      <c r="J24" s="13" t="str">
        <f>IF(I24&lt;1,"Liquidity Problem!","")</f>
        <v/>
      </c>
    </row>
    <row r="25" spans="2:10" ht="15" customHeight="1">
      <c r="B25" s="65" t="s">
        <v>104</v>
      </c>
      <c r="C25" s="69">
        <f>C24+SUM(C15:C17)</f>
        <v>2829022</v>
      </c>
      <c r="D25" s="67">
        <f>IF(E25=0,0,E25/C25)</f>
        <v>0.86203292162450484</v>
      </c>
      <c r="E25" s="26">
        <f>E24+SUM(E15:E17)</f>
        <v>2438710.1</v>
      </c>
      <c r="F25" s="6"/>
      <c r="G25" s="6"/>
      <c r="H25" s="65" t="s">
        <v>288</v>
      </c>
      <c r="I25" s="68">
        <f>E25/$I$26</f>
        <v>3.3203400791857054</v>
      </c>
      <c r="J25" s="13" t="str">
        <f>IF(OR(I25&lt;0.75,C26&lt;I26),"Liquidity Problem!","")</f>
        <v/>
      </c>
    </row>
    <row r="26" spans="2:10" ht="15" customHeight="1">
      <c r="B26" s="5" t="s">
        <v>105</v>
      </c>
      <c r="C26" s="69">
        <f>SUM(C11:C22)</f>
        <v>3155075</v>
      </c>
      <c r="D26" s="14">
        <f t="shared" ref="D26" si="2">E26/C26</f>
        <v>0.79525136486454373</v>
      </c>
      <c r="E26" s="26">
        <f>SUM(E11:E22)</f>
        <v>2509077.7000000002</v>
      </c>
      <c r="H26" s="5" t="s">
        <v>56</v>
      </c>
      <c r="I26" s="63">
        <v>734476</v>
      </c>
      <c r="J26" s="103">
        <f>IF(J24="",1,0)+IF(J25="",1,0)+IF(J44="",1,0)+IF(J45="",1,0)</f>
        <v>4</v>
      </c>
    </row>
    <row r="27" spans="2:10" ht="15" customHeight="1">
      <c r="C27" s="6"/>
      <c r="D27" s="6"/>
      <c r="E27" s="6"/>
      <c r="F27" s="29" t="s">
        <v>223</v>
      </c>
      <c r="G27" s="6"/>
      <c r="I27" s="6"/>
      <c r="J27" s="6"/>
    </row>
    <row r="28" spans="2:10" ht="15" customHeight="1">
      <c r="B28" s="5" t="s">
        <v>106</v>
      </c>
      <c r="C28" s="63">
        <v>0</v>
      </c>
      <c r="D28" s="64">
        <v>0.95</v>
      </c>
      <c r="E28" s="26">
        <v>0</v>
      </c>
      <c r="F28" s="6"/>
      <c r="G28" s="6"/>
      <c r="H28" s="5" t="s">
        <v>107</v>
      </c>
      <c r="I28" s="63">
        <v>0</v>
      </c>
      <c r="J28" s="6"/>
    </row>
    <row r="29" spans="2:10" ht="15" customHeight="1">
      <c r="B29" s="5" t="s">
        <v>108</v>
      </c>
      <c r="C29" s="63">
        <v>146031</v>
      </c>
      <c r="D29" s="64">
        <v>0.5</v>
      </c>
      <c r="E29" s="26">
        <f t="shared" ref="E29:E40" si="3">C29*D29</f>
        <v>73015.5</v>
      </c>
      <c r="F29" s="6"/>
      <c r="G29" s="6"/>
      <c r="H29" s="5" t="s">
        <v>109</v>
      </c>
      <c r="I29" s="63">
        <v>10412</v>
      </c>
      <c r="J29" s="6"/>
    </row>
    <row r="30" spans="2:10" ht="15" customHeight="1">
      <c r="B30" s="5" t="s">
        <v>110</v>
      </c>
      <c r="C30" s="63">
        <v>0</v>
      </c>
      <c r="D30" s="64">
        <v>0.6</v>
      </c>
      <c r="E30" s="26">
        <f t="shared" si="3"/>
        <v>0</v>
      </c>
      <c r="F30" s="6"/>
      <c r="G30" s="6"/>
      <c r="H30" s="5" t="s">
        <v>112</v>
      </c>
      <c r="I30" s="63">
        <v>0</v>
      </c>
      <c r="J30" s="6"/>
    </row>
    <row r="31" spans="2:10" ht="14">
      <c r="B31" s="3" t="s">
        <v>111</v>
      </c>
      <c r="C31" s="63">
        <v>0</v>
      </c>
      <c r="D31" s="64">
        <v>0.5</v>
      </c>
      <c r="E31" s="26">
        <f t="shared" si="3"/>
        <v>0</v>
      </c>
      <c r="F31" s="195" t="s">
        <v>224</v>
      </c>
      <c r="G31" s="90">
        <f>IF(F31="Y",0,1)</f>
        <v>0</v>
      </c>
      <c r="H31" s="3" t="s">
        <v>111</v>
      </c>
      <c r="I31" s="63">
        <v>0</v>
      </c>
      <c r="J31" s="6"/>
    </row>
    <row r="32" spans="2:10" ht="14">
      <c r="B32" s="5" t="s">
        <v>113</v>
      </c>
      <c r="C32" s="63">
        <v>0</v>
      </c>
      <c r="D32" s="64">
        <v>0.4</v>
      </c>
      <c r="E32" s="26">
        <f t="shared" si="3"/>
        <v>0</v>
      </c>
      <c r="G32" s="6"/>
      <c r="H32" s="5" t="s">
        <v>114</v>
      </c>
      <c r="I32" s="148">
        <f>I42-SUM(I28:I31)</f>
        <v>8270</v>
      </c>
      <c r="J32" s="6"/>
    </row>
    <row r="33" spans="2:10" ht="14">
      <c r="B33" s="5" t="s">
        <v>115</v>
      </c>
      <c r="C33" s="63">
        <v>0</v>
      </c>
      <c r="D33" s="64">
        <v>0.6</v>
      </c>
      <c r="E33" s="208">
        <f t="shared" si="3"/>
        <v>0</v>
      </c>
      <c r="F33" s="195" t="s">
        <v>225</v>
      </c>
      <c r="G33" s="90">
        <f>IF(F33="Y",0,1)</f>
        <v>1</v>
      </c>
      <c r="J33" s="6"/>
    </row>
    <row r="34" spans="2:10" ht="14">
      <c r="B34" s="5" t="s">
        <v>116</v>
      </c>
      <c r="C34" s="63">
        <v>0</v>
      </c>
      <c r="D34" s="64">
        <v>0.7</v>
      </c>
      <c r="E34" s="208">
        <f t="shared" si="3"/>
        <v>0</v>
      </c>
      <c r="F34" s="195" t="s">
        <v>224</v>
      </c>
      <c r="G34" s="90">
        <f>IF(F34="Y",0,1)</f>
        <v>0</v>
      </c>
    </row>
    <row r="35" spans="2:10" ht="14">
      <c r="B35" s="3" t="s">
        <v>100</v>
      </c>
      <c r="C35" s="63">
        <v>0</v>
      </c>
      <c r="D35" s="64">
        <v>0.4</v>
      </c>
      <c r="E35" s="26">
        <f t="shared" si="3"/>
        <v>0</v>
      </c>
      <c r="F35" s="195" t="s">
        <v>224</v>
      </c>
      <c r="G35" s="90">
        <f>IF(F35="Y",0,1)</f>
        <v>0</v>
      </c>
    </row>
    <row r="36" spans="2:10" ht="15" customHeight="1">
      <c r="B36" s="5" t="s">
        <v>275</v>
      </c>
      <c r="C36" s="63">
        <v>188188</v>
      </c>
      <c r="D36" s="64">
        <v>0.4</v>
      </c>
      <c r="E36" s="26">
        <f t="shared" si="3"/>
        <v>75275.199999999997</v>
      </c>
      <c r="F36" s="6"/>
      <c r="G36" s="6"/>
    </row>
    <row r="37" spans="2:10" ht="14">
      <c r="B37" s="5" t="s">
        <v>276</v>
      </c>
      <c r="C37" s="63">
        <v>0</v>
      </c>
      <c r="D37" s="64">
        <v>0.5</v>
      </c>
      <c r="E37" s="26">
        <f t="shared" si="3"/>
        <v>0</v>
      </c>
      <c r="F37" s="6"/>
      <c r="G37" s="6"/>
    </row>
    <row r="38" spans="2:10" ht="15" customHeight="1">
      <c r="B38" s="5" t="s">
        <v>117</v>
      </c>
      <c r="C38" s="63">
        <v>11645</v>
      </c>
      <c r="D38" s="64">
        <v>0.4</v>
      </c>
      <c r="E38" s="26">
        <f t="shared" si="3"/>
        <v>4658</v>
      </c>
      <c r="F38" s="6"/>
      <c r="G38" s="6"/>
    </row>
    <row r="39" spans="2:10" ht="15" customHeight="1">
      <c r="B39" s="5" t="s">
        <v>118</v>
      </c>
      <c r="C39" s="63">
        <v>68064</v>
      </c>
      <c r="D39" s="64">
        <v>0.95</v>
      </c>
      <c r="E39" s="26">
        <f t="shared" si="3"/>
        <v>64660.799999999996</v>
      </c>
      <c r="F39" s="6"/>
      <c r="G39" s="6"/>
    </row>
    <row r="40" spans="2:10" ht="15" customHeight="1">
      <c r="B40" s="5" t="s">
        <v>119</v>
      </c>
      <c r="C40" s="63">
        <v>3925</v>
      </c>
      <c r="D40" s="64">
        <v>0.1</v>
      </c>
      <c r="E40" s="26">
        <f t="shared" si="3"/>
        <v>392.5</v>
      </c>
      <c r="F40" s="6"/>
      <c r="G40" s="6"/>
    </row>
    <row r="41" spans="2:10" ht="15" customHeight="1">
      <c r="C41" s="6"/>
      <c r="D41" s="6"/>
      <c r="E41" s="6"/>
      <c r="I41" s="6"/>
    </row>
    <row r="42" spans="2:10" ht="14">
      <c r="B42" s="5" t="s">
        <v>120</v>
      </c>
      <c r="C42" s="66">
        <f>SUM(C28:C40)</f>
        <v>417853</v>
      </c>
      <c r="D42" s="14">
        <f>E42/C42</f>
        <v>0.52171936063639601</v>
      </c>
      <c r="E42" s="26">
        <f>SUM(E28:E40)</f>
        <v>218002</v>
      </c>
      <c r="F42" s="6"/>
      <c r="G42" s="6"/>
      <c r="H42" s="5" t="s">
        <v>121</v>
      </c>
      <c r="I42" s="63">
        <v>18682</v>
      </c>
      <c r="J42" s="6"/>
    </row>
    <row r="43" spans="2:10" ht="15" customHeight="1">
      <c r="C43" s="6"/>
      <c r="D43" s="6"/>
      <c r="E43" s="6"/>
      <c r="I43" s="6"/>
    </row>
    <row r="44" spans="2:10" ht="15" customHeight="1">
      <c r="B44" s="65" t="s">
        <v>122</v>
      </c>
      <c r="C44" s="69">
        <f>C24+SUM(C28:C29)</f>
        <v>2505517</v>
      </c>
      <c r="D44" s="67">
        <f>IF(E44=0,0,E44/C44)</f>
        <v>0.94180251022044559</v>
      </c>
      <c r="E44" s="26">
        <f>E24+SUM(E28:E29)</f>
        <v>2359702.2000000002</v>
      </c>
      <c r="F44" s="6"/>
      <c r="G44" s="6"/>
      <c r="H44" s="65" t="s">
        <v>285</v>
      </c>
      <c r="I44" s="68">
        <f>E44/(I46-I15-I32)</f>
        <v>142.03094980137234</v>
      </c>
      <c r="J44" s="13" t="str">
        <f>IF(I44&lt;1,"Liquidity Problem!","")</f>
        <v/>
      </c>
    </row>
    <row r="45" spans="2:10" ht="15" customHeight="1">
      <c r="B45" s="65" t="s">
        <v>123</v>
      </c>
      <c r="C45" s="69">
        <f>C44+(C25-C24)+SUM(C30:C33)</f>
        <v>2975053</v>
      </c>
      <c r="D45" s="67">
        <f>IF(E45=0,0,E45/C45)</f>
        <v>0.84426247196268445</v>
      </c>
      <c r="E45" s="26">
        <f>E44+(E25-E24)+SUM(E30:E33)</f>
        <v>2511725.6</v>
      </c>
      <c r="F45" s="6"/>
      <c r="G45" s="6"/>
      <c r="H45" s="65" t="s">
        <v>289</v>
      </c>
      <c r="I45" s="68">
        <f>E45/$I$46</f>
        <v>3.3349252082564349</v>
      </c>
      <c r="J45" s="13" t="str">
        <f>IF(OR(I45&lt;0.5,C46&lt;I46),"Liquidity Problem!","")</f>
        <v/>
      </c>
    </row>
    <row r="46" spans="2:10" ht="15" customHeight="1">
      <c r="B46" s="5" t="s">
        <v>124</v>
      </c>
      <c r="C46" s="69">
        <f>C26+C42</f>
        <v>3572928</v>
      </c>
      <c r="D46" s="14">
        <f>E46/C46</f>
        <v>0.76326186813728125</v>
      </c>
      <c r="E46" s="26">
        <f>E26+E42</f>
        <v>2727079.7</v>
      </c>
      <c r="F46" s="6"/>
      <c r="G46" s="6"/>
      <c r="H46" s="5" t="s">
        <v>286</v>
      </c>
      <c r="I46" s="148">
        <f>I26+I42</f>
        <v>753158</v>
      </c>
      <c r="J46" s="6"/>
    </row>
    <row r="47" spans="2:10" ht="15" customHeight="1">
      <c r="C47" s="6"/>
      <c r="D47" s="6"/>
      <c r="E47" s="6"/>
      <c r="I47" s="6"/>
    </row>
    <row r="48" spans="2:10" ht="14">
      <c r="B48" s="21" t="s">
        <v>125</v>
      </c>
      <c r="C48" s="21"/>
      <c r="D48" s="51"/>
    </row>
    <row r="49" spans="2:9" ht="14">
      <c r="B49" s="204" t="s">
        <v>200</v>
      </c>
      <c r="C49" s="6"/>
      <c r="D49" s="205" t="str">
        <f>IF(E50=D4,"BV of the MI","P/B Approach")</f>
        <v>BV of the MI</v>
      </c>
      <c r="E49" s="6"/>
    </row>
    <row r="50" spans="2:9" ht="14">
      <c r="B50" s="5" t="s">
        <v>199</v>
      </c>
      <c r="C50" s="206">
        <f>D4</f>
        <v>7297</v>
      </c>
      <c r="D50" s="202">
        <f>IF(E50=0, 0,E50/C50)</f>
        <v>1</v>
      </c>
      <c r="E50" s="206">
        <f>MAX(C50,C50*Dashboard!I10)</f>
        <v>7297</v>
      </c>
      <c r="I50" s="150"/>
    </row>
    <row r="51" spans="2:9" ht="15" customHeight="1">
      <c r="C51" s="6"/>
      <c r="D51" s="6"/>
      <c r="E51" s="6"/>
    </row>
    <row r="52" spans="2:9" ht="14.5" thickBot="1">
      <c r="B52" s="73" t="s">
        <v>244</v>
      </c>
      <c r="C52" s="5"/>
      <c r="D52" s="476">
        <f>D53+D54+D55</f>
        <v>16614</v>
      </c>
      <c r="E52" s="477"/>
      <c r="F52" s="52"/>
      <c r="G52" s="52"/>
    </row>
    <row r="53" spans="2:9" ht="14.5" thickTop="1">
      <c r="B53" s="57" t="s">
        <v>218</v>
      </c>
      <c r="C53" s="6"/>
      <c r="D53" s="479">
        <f>SUM(I11:I13)+SUM(I28:I30)</f>
        <v>16614</v>
      </c>
      <c r="E53" s="474"/>
      <c r="F53" s="5"/>
      <c r="G53" s="5"/>
      <c r="H53" s="3" t="s">
        <v>287</v>
      </c>
      <c r="I53" s="14">
        <f>D53/I3</f>
        <v>5.9072567096644128E-3</v>
      </c>
    </row>
    <row r="54" spans="2:9" ht="14">
      <c r="B54" s="57" t="s">
        <v>127</v>
      </c>
      <c r="C54" s="6"/>
      <c r="D54" s="486">
        <v>0</v>
      </c>
      <c r="E54" s="470"/>
      <c r="F54" s="6" t="s">
        <v>128</v>
      </c>
      <c r="G54" s="6"/>
    </row>
    <row r="55" spans="2:9" ht="12.75" customHeight="1">
      <c r="B55" s="57" t="s">
        <v>126</v>
      </c>
      <c r="C55" s="6"/>
      <c r="D55" s="486">
        <v>0</v>
      </c>
      <c r="E55" s="470"/>
      <c r="F55" s="5" t="s">
        <v>129</v>
      </c>
      <c r="G55" s="5"/>
    </row>
    <row r="56" spans="2:9" ht="15" customHeight="1">
      <c r="D56" s="6"/>
      <c r="E56" s="6"/>
    </row>
    <row r="57" spans="2:9" ht="14">
      <c r="B57" s="73" t="s">
        <v>130</v>
      </c>
      <c r="C57" s="5"/>
      <c r="D57" s="478"/>
      <c r="E57" s="478"/>
      <c r="F57" s="19"/>
      <c r="G57" s="19"/>
    </row>
    <row r="58" spans="2:9" ht="15" customHeight="1">
      <c r="B58" s="52" t="s">
        <v>219</v>
      </c>
      <c r="C58" s="201">
        <f>C14+C15+(C19*G19)+(C20*G20)+C29+C30+(C31*G31)+(C33*G33)+(C34*G34)+(C35*G35)</f>
        <v>503941</v>
      </c>
      <c r="D58" s="122">
        <f>IF(E58=0,0,E58/C58)</f>
        <v>0.35795559400802873</v>
      </c>
      <c r="E58" s="209">
        <f>E14+E15+(E19*G19)+(E20*G20)+E29+E30+(E31*G31)+(E33*G33)+(E34*G34)+(E35*G35)</f>
        <v>180388.5</v>
      </c>
      <c r="H58" s="6"/>
    </row>
    <row r="59" spans="2:9" ht="14">
      <c r="B59" s="52" t="s">
        <v>87</v>
      </c>
      <c r="C59" s="201">
        <f>C11+C12+C28</f>
        <v>2359486</v>
      </c>
      <c r="D59" s="202">
        <f>IF(E59=0,0,E59/C59)</f>
        <v>0.96914611911238302</v>
      </c>
      <c r="E59" s="203">
        <f>E11+E12+E28</f>
        <v>2286686.7000000002</v>
      </c>
      <c r="F59" s="6"/>
      <c r="G59" s="6"/>
    </row>
    <row r="60" spans="2:9" ht="14">
      <c r="B60" s="52" t="s">
        <v>131</v>
      </c>
      <c r="C60" s="6"/>
      <c r="D60" s="484">
        <f>((Dashboard!I6*Data!C4)+D52+E50-C58-C59)</f>
        <v>-439521.91360000009</v>
      </c>
      <c r="E60" s="485"/>
      <c r="F60" s="6"/>
      <c r="G60" s="6"/>
    </row>
    <row r="61" spans="2:9" ht="15" customHeight="1">
      <c r="D61" s="6"/>
      <c r="E61" s="6"/>
    </row>
    <row r="62" spans="2:9" ht="15" customHeight="1">
      <c r="B62" s="263" t="s">
        <v>243</v>
      </c>
    </row>
    <row r="63" spans="2:9" ht="15" customHeight="1">
      <c r="B63" s="3" t="s">
        <v>246</v>
      </c>
      <c r="D63" s="482">
        <f>((C26-C11-C12-C14-C15-C16*G16-C19*G19-C20*G20)-I26)/Data!C7</f>
        <v>-0.20579547550468244</v>
      </c>
      <c r="E63" s="483"/>
    </row>
    <row r="64" spans="2:9" ht="15" customHeight="1">
      <c r="B64" s="3" t="s">
        <v>245</v>
      </c>
      <c r="D64" s="480">
        <v>8.5599999999999996E-2</v>
      </c>
      <c r="E64" s="481"/>
      <c r="F64" s="242" t="s">
        <v>231</v>
      </c>
    </row>
    <row r="65" spans="2:5" ht="15" customHeight="1">
      <c r="B65" s="263" t="s">
        <v>247</v>
      </c>
      <c r="D65" s="480">
        <v>8.5599999999999996E-2</v>
      </c>
      <c r="E65" s="481"/>
    </row>
  </sheetData>
  <mergeCells count="9">
    <mergeCell ref="D52:E52"/>
    <mergeCell ref="D57:E57"/>
    <mergeCell ref="D53:E53"/>
    <mergeCell ref="D64:E64"/>
    <mergeCell ref="D65:E65"/>
    <mergeCell ref="D63:E63"/>
    <mergeCell ref="D60:E60"/>
    <mergeCell ref="D54:E54"/>
    <mergeCell ref="D55:E55"/>
  </mergeCells>
  <phoneticPr fontId="31" type="noConversion"/>
  <dataValidations count="3">
    <dataValidation allowBlank="1" sqref="D49" xr:uid="{00000000-0002-0000-0200-000000000000}"/>
    <dataValidation type="list" allowBlank="1" showInputMessage="1" showErrorMessage="1" sqref="F33:F35 F19:F20 F16 F31" xr:uid="{DBDA56F9-BDA2-428A-9035-F60711F90E5E}">
      <formula1>"Y,N"</formula1>
    </dataValidation>
    <dataValidation type="list" allowBlank="1" showInputMessage="1" showErrorMessage="1" sqref="E9" xr:uid="{147BCDA5-0590-46F5-AA62-0B27DE6FA745}">
      <formula1>"FY, Quarter"</formula1>
    </dataValidation>
  </dataValidations>
  <hyperlinks>
    <hyperlink ref="F64" r:id="rId1" xr:uid="{3715D1BE-6062-4B03-8547-E8B4F4F81508}"/>
  </hyperlinks>
  <pageMargins left="0.25" right="0.25" top="0.75" bottom="0.75" header="0.3" footer="0.3"/>
  <pageSetup scale="71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481AE-0B58-461D-BD19-777F57D3486C}">
  <sheetPr>
    <outlinePr summaryBelow="0" summaryRight="0"/>
  </sheetPr>
  <dimension ref="A1:M903"/>
  <sheetViews>
    <sheetView showGridLines="0" zoomScaleNormal="100" zoomScalePageLayoutView="80" workbookViewId="0">
      <selection activeCell="C16" sqref="C16"/>
    </sheetView>
  </sheetViews>
  <sheetFormatPr defaultColWidth="12.453125" defaultRowHeight="15" customHeight="1"/>
  <cols>
    <col min="1" max="1" width="2.453125" style="3" customWidth="1"/>
    <col min="2" max="2" width="26.81640625" style="3" customWidth="1"/>
    <col min="3" max="3" width="22.7265625" style="3" customWidth="1"/>
    <col min="4" max="4" width="6.81640625" style="3" customWidth="1"/>
    <col min="5" max="5" width="22.7265625" style="3" customWidth="1"/>
    <col min="6" max="6" width="6.81640625" style="3" customWidth="1"/>
    <col min="7" max="7" width="22.7265625" style="3" customWidth="1"/>
    <col min="8" max="8" width="6.81640625" style="3" customWidth="1"/>
    <col min="9" max="9" width="22.7265625" style="3" customWidth="1"/>
    <col min="10" max="10" width="6.81640625" style="3" customWidth="1"/>
    <col min="11" max="11" width="2.453125" style="3" customWidth="1"/>
    <col min="12" max="12" width="87.453125" style="3" customWidth="1"/>
    <col min="13" max="16384" width="12.453125" style="3"/>
  </cols>
  <sheetData>
    <row r="1" spans="1:13" ht="15" customHeight="1">
      <c r="C1" s="6"/>
      <c r="D1" s="6"/>
      <c r="E1" s="6"/>
      <c r="F1" s="6"/>
      <c r="G1" s="6"/>
      <c r="H1" s="6"/>
    </row>
    <row r="2" spans="1:13" ht="15.5" customHeight="1">
      <c r="A2" s="4"/>
      <c r="B2" s="88" t="s">
        <v>229</v>
      </c>
      <c r="C2" s="257" t="s">
        <v>241</v>
      </c>
      <c r="D2" s="257"/>
      <c r="E2" s="257">
        <v>1</v>
      </c>
      <c r="F2" s="257"/>
      <c r="G2" s="257">
        <v>2</v>
      </c>
      <c r="H2" s="12"/>
      <c r="I2" s="257">
        <v>3</v>
      </c>
      <c r="J2" s="257"/>
      <c r="K2" s="12"/>
      <c r="L2" s="12"/>
    </row>
    <row r="3" spans="1:13" ht="15.75" customHeight="1">
      <c r="B3" s="28" t="str">
        <f>'Val Models'!B3</f>
        <v>(Numbers in 1000CNY)</v>
      </c>
      <c r="C3" s="253">
        <f>Dashboard!E6</f>
        <v>44926</v>
      </c>
      <c r="D3" s="27" t="s">
        <v>230</v>
      </c>
      <c r="E3" s="253">
        <f>EOMONTH(EDATE(C3,12),0)</f>
        <v>45291</v>
      </c>
      <c r="F3" s="27" t="s">
        <v>230</v>
      </c>
      <c r="G3" s="253" t="str">
        <f>IF(G9="","",EOMONTH(EDATE(E3,12),0))</f>
        <v/>
      </c>
      <c r="H3" s="27"/>
      <c r="I3" s="253" t="str">
        <f>IF(I16="","",EOMONTH(EDATE(G3,12),0))</f>
        <v/>
      </c>
      <c r="J3" s="268"/>
      <c r="L3" s="70" t="s">
        <v>132</v>
      </c>
    </row>
    <row r="4" spans="1:13" ht="15.75" customHeight="1">
      <c r="B4" s="264" t="s">
        <v>331</v>
      </c>
      <c r="C4" s="265">
        <v>1296901</v>
      </c>
      <c r="D4" s="236">
        <f>C4/$C$8</f>
        <v>0.89925557865307992</v>
      </c>
      <c r="E4" s="265"/>
      <c r="F4" s="236"/>
      <c r="G4" s="388"/>
      <c r="H4" s="236"/>
      <c r="I4" s="388"/>
      <c r="J4" s="258"/>
      <c r="K4" s="6"/>
      <c r="L4" s="72"/>
      <c r="M4" s="56"/>
    </row>
    <row r="5" spans="1:13" ht="15.75" customHeight="1">
      <c r="B5" s="264" t="s">
        <v>332</v>
      </c>
      <c r="C5" s="265">
        <v>64283</v>
      </c>
      <c r="D5" s="236">
        <f t="shared" ref="D5:D7" si="0">C5/$C$8</f>
        <v>4.4573060212426345E-2</v>
      </c>
      <c r="E5" s="265"/>
      <c r="F5" s="236"/>
      <c r="G5" s="388"/>
      <c r="H5" s="236"/>
      <c r="I5" s="388"/>
      <c r="J5" s="258"/>
      <c r="K5" s="6"/>
      <c r="L5" s="72"/>
      <c r="M5" s="56"/>
    </row>
    <row r="6" spans="1:13" ht="15.75" customHeight="1">
      <c r="B6" s="264" t="s">
        <v>333</v>
      </c>
      <c r="C6" s="265">
        <v>76943</v>
      </c>
      <c r="D6" s="236">
        <f t="shared" si="0"/>
        <v>5.3351352175920852E-2</v>
      </c>
      <c r="E6" s="265"/>
      <c r="F6" s="236"/>
      <c r="G6" s="388"/>
      <c r="H6" s="236"/>
      <c r="I6" s="388"/>
      <c r="J6" s="258"/>
      <c r="K6" s="6"/>
      <c r="L6" s="72"/>
      <c r="M6" s="56"/>
    </row>
    <row r="7" spans="1:13" ht="15.75" customHeight="1">
      <c r="B7" s="264" t="s">
        <v>334</v>
      </c>
      <c r="C7" s="265">
        <v>4067</v>
      </c>
      <c r="D7" s="236">
        <f t="shared" si="0"/>
        <v>2.820008958572841E-3</v>
      </c>
      <c r="E7" s="265"/>
      <c r="F7" s="236"/>
      <c r="G7" s="388"/>
      <c r="H7" s="236"/>
      <c r="I7" s="388"/>
      <c r="J7" s="258"/>
      <c r="K7" s="6"/>
      <c r="L7" s="72"/>
      <c r="M7" s="56"/>
    </row>
    <row r="8" spans="1:13" ht="15.75" customHeight="1">
      <c r="B8" s="5" t="s">
        <v>134</v>
      </c>
      <c r="C8" s="173">
        <f>SUM(C4:C7)</f>
        <v>1442194</v>
      </c>
      <c r="D8" s="235"/>
      <c r="E8" s="305">
        <f>C8*(1+10%*0.8)</f>
        <v>1557569.52</v>
      </c>
      <c r="F8" s="235"/>
      <c r="G8" s="305"/>
      <c r="H8" s="235"/>
      <c r="I8" s="215"/>
      <c r="J8" s="259"/>
      <c r="K8" s="6"/>
      <c r="L8" s="72" t="s">
        <v>378</v>
      </c>
      <c r="M8" s="56"/>
    </row>
    <row r="9" spans="1:13" ht="15.75" customHeight="1">
      <c r="B9" s="17" t="s">
        <v>133</v>
      </c>
      <c r="C9" s="237">
        <f>Data!C8</f>
        <v>-0.18481287980659711</v>
      </c>
      <c r="D9" s="237"/>
      <c r="E9" s="18">
        <f>E8/C8-1</f>
        <v>8.0000000000000071E-2</v>
      </c>
      <c r="F9" s="237"/>
      <c r="G9" s="18"/>
      <c r="H9" s="237"/>
      <c r="I9" s="71"/>
      <c r="J9" s="295"/>
      <c r="K9" s="6"/>
      <c r="L9" s="72"/>
      <c r="M9" s="56"/>
    </row>
    <row r="10" spans="1:13" ht="15.75" customHeight="1">
      <c r="B10" s="8" t="s">
        <v>135</v>
      </c>
      <c r="C10" s="174">
        <f>Data!C9</f>
        <v>842386</v>
      </c>
      <c r="D10" s="238"/>
      <c r="E10" s="214">
        <f>E8*(1-E11)</f>
        <v>909776.88</v>
      </c>
      <c r="F10" s="238"/>
      <c r="G10" s="256" t="str">
        <f>IF(G8="","",G8*(1-G11))</f>
        <v/>
      </c>
      <c r="H10" s="238"/>
      <c r="I10" s="256" t="str">
        <f>IF(I8="","",I8*(1-I11))</f>
        <v/>
      </c>
      <c r="J10" s="296"/>
      <c r="K10" s="6"/>
      <c r="L10" s="112"/>
      <c r="M10" s="1"/>
    </row>
    <row r="11" spans="1:13" ht="15.75" customHeight="1">
      <c r="B11" s="17" t="s">
        <v>46</v>
      </c>
      <c r="C11" s="179">
        <f>(C8-C10)/C8</f>
        <v>0.41589966398417966</v>
      </c>
      <c r="D11" s="179"/>
      <c r="E11" s="71">
        <f>C11</f>
        <v>0.41589966398417966</v>
      </c>
      <c r="F11" s="179"/>
      <c r="G11" s="71"/>
      <c r="H11" s="179"/>
      <c r="I11" s="71"/>
      <c r="J11" s="297"/>
      <c r="K11" s="6"/>
      <c r="L11" s="72"/>
    </row>
    <row r="12" spans="1:13" ht="15.75" customHeight="1">
      <c r="B12" s="5" t="s">
        <v>136</v>
      </c>
      <c r="C12" s="26">
        <f>C8-C10</f>
        <v>599808</v>
      </c>
      <c r="D12" s="26"/>
      <c r="E12" s="26">
        <f>E8-E10</f>
        <v>647792.64000000001</v>
      </c>
      <c r="F12" s="26"/>
      <c r="G12" s="26" t="str">
        <f>IF(G9="","",G8-G10)</f>
        <v/>
      </c>
      <c r="H12" s="26"/>
      <c r="I12" s="26" t="str">
        <f>IF(I9="","",I8-I10)</f>
        <v/>
      </c>
      <c r="J12" s="222"/>
      <c r="K12" s="6"/>
      <c r="L12" s="72"/>
    </row>
    <row r="13" spans="1:13" ht="15.75" customHeight="1">
      <c r="B13" s="17" t="s">
        <v>48</v>
      </c>
      <c r="C13" s="180">
        <f>C14/C8</f>
        <v>0.41535119408345894</v>
      </c>
      <c r="D13" s="180"/>
      <c r="E13" s="213">
        <f>C13</f>
        <v>0.41535119408345894</v>
      </c>
      <c r="F13" s="180"/>
      <c r="G13" s="64"/>
      <c r="H13" s="180"/>
      <c r="I13" s="64"/>
      <c r="J13" s="298"/>
      <c r="K13" s="6"/>
      <c r="L13" s="72" t="s">
        <v>379</v>
      </c>
    </row>
    <row r="14" spans="1:13" ht="15.75" customHeight="1">
      <c r="B14" s="8" t="s">
        <v>137</v>
      </c>
      <c r="C14" s="176">
        <f>435254+163763</f>
        <v>599017</v>
      </c>
      <c r="D14" s="239"/>
      <c r="E14" s="74">
        <f>E8*E13</f>
        <v>646938.36</v>
      </c>
      <c r="F14" s="239"/>
      <c r="G14" s="74"/>
      <c r="H14" s="239"/>
      <c r="I14" s="74"/>
      <c r="J14" s="299"/>
      <c r="K14" s="6"/>
      <c r="L14" s="72"/>
    </row>
    <row r="15" spans="1:13" ht="15.75" customHeight="1">
      <c r="B15" s="17" t="s">
        <v>49</v>
      </c>
      <c r="C15" s="18">
        <f>C17/C8</f>
        <v>5.4846990072070743E-4</v>
      </c>
      <c r="D15" s="18"/>
      <c r="E15" s="18">
        <f>E17/E8</f>
        <v>5.4846990072072543E-4</v>
      </c>
      <c r="F15" s="18"/>
      <c r="G15" s="18" t="str">
        <f>IF(G9="","",G17/G8)</f>
        <v/>
      </c>
      <c r="H15" s="18"/>
      <c r="I15" s="18" t="str">
        <f>IF(I9="","",I17/I8)</f>
        <v/>
      </c>
      <c r="J15" s="216"/>
      <c r="K15" s="6"/>
      <c r="L15" s="72"/>
      <c r="M15" s="56"/>
    </row>
    <row r="16" spans="1:13" ht="15.75" customHeight="1">
      <c r="B16" s="17" t="s">
        <v>138</v>
      </c>
      <c r="C16" s="240">
        <f>Data!C15</f>
        <v>-0.18372080104435742</v>
      </c>
      <c r="D16" s="240"/>
      <c r="E16" s="14">
        <f>IF(ABS(C17+E17)=ABS(C17)+ABS(E17),IF(E17&lt;0,-1,1)*(E17-C17)/C17,"Turn")</f>
        <v>8.0000000000035321E-2</v>
      </c>
      <c r="F16" s="240"/>
      <c r="G16" s="14" t="str">
        <f>IF(G9="","",IF(ABS(E17+G17)=ABS(E17)+ABS(G17),IF(G17&lt;0,-1,1)*(G17-E17)/E17,"Turn"))</f>
        <v/>
      </c>
      <c r="H16" s="240"/>
      <c r="I16" s="14" t="str">
        <f>IF(I9="","",IF(ABS(G17+I17)=ABS(G17)+ABS(I17),IF(I17&lt;0,-1,1)*(I17-G17)/G17,"Turn"))</f>
        <v/>
      </c>
      <c r="J16" s="300"/>
      <c r="K16" s="6"/>
      <c r="L16" s="75"/>
      <c r="M16" s="76"/>
    </row>
    <row r="17" spans="2:13" ht="15.75" customHeight="1">
      <c r="B17" s="127" t="s">
        <v>228</v>
      </c>
      <c r="C17" s="287">
        <f>C12-C14</f>
        <v>791</v>
      </c>
      <c r="D17" s="288"/>
      <c r="E17" s="287">
        <f>E12-E14</f>
        <v>854.28000000002794</v>
      </c>
      <c r="F17" s="288"/>
      <c r="G17" s="287" t="str">
        <f>IF(G9="","",G12-G14)</f>
        <v/>
      </c>
      <c r="H17" s="288"/>
      <c r="I17" s="287" t="str">
        <f>IF(I9="","",I12-I14)</f>
        <v/>
      </c>
      <c r="J17" s="301"/>
      <c r="K17" s="6"/>
      <c r="L17" s="77"/>
      <c r="M17" s="55"/>
    </row>
    <row r="18" spans="2:13" ht="15.75" customHeight="1">
      <c r="B18" s="283" t="s">
        <v>139</v>
      </c>
      <c r="C18" s="284">
        <v>0.25</v>
      </c>
      <c r="D18" s="285"/>
      <c r="E18" s="286">
        <f>IF(E17="","",C18)</f>
        <v>0.25</v>
      </c>
      <c r="F18" s="286"/>
      <c r="G18" s="286" t="str">
        <f>IF(G17="","",E18)</f>
        <v/>
      </c>
      <c r="H18" s="286"/>
      <c r="I18" s="286" t="str">
        <f>IF(I17="","",G18)</f>
        <v/>
      </c>
      <c r="J18" s="302"/>
      <c r="L18" s="72"/>
    </row>
    <row r="19" spans="2:13" ht="15.75" customHeight="1">
      <c r="B19" s="292" t="s">
        <v>278</v>
      </c>
      <c r="C19" s="240">
        <f>C20/C10</f>
        <v>7.0424959579100312E-4</v>
      </c>
      <c r="D19" s="294"/>
      <c r="E19" s="293">
        <f>E20/E10</f>
        <v>7.0424959579102621E-4</v>
      </c>
      <c r="F19" s="293"/>
      <c r="G19" s="293" t="str">
        <f>IF(G10="","",G20/G10)</f>
        <v/>
      </c>
      <c r="H19" s="293"/>
      <c r="I19" s="293" t="str">
        <f>IF(I10="","",I20/I10)</f>
        <v/>
      </c>
      <c r="J19" s="303"/>
    </row>
    <row r="20" spans="2:13" ht="15.75" customHeight="1">
      <c r="B20" s="289" t="s">
        <v>78</v>
      </c>
      <c r="C20" s="290">
        <f>IF(C17&lt;=0,C17,C17*(1-C18))</f>
        <v>593.25</v>
      </c>
      <c r="D20" s="290"/>
      <c r="E20" s="291">
        <f>IF(E17="","",IF(E17&lt;=0,E17,E17*(1-E18)))</f>
        <v>640.71000000002095</v>
      </c>
      <c r="F20" s="290"/>
      <c r="G20" s="291" t="str">
        <f>IF(G17="","",IF(G17&lt;=0,G17,G17*(1-G18)))</f>
        <v/>
      </c>
      <c r="H20" s="290"/>
      <c r="I20" s="291" t="str">
        <f>IF(I17="","",IF(I17&lt;=0,I17,I17*(1-I18)))</f>
        <v/>
      </c>
      <c r="J20" s="304"/>
    </row>
    <row r="21" spans="2:13" ht="15.75" customHeight="1"/>
    <row r="22" spans="2:13" ht="15.75" customHeight="1"/>
    <row r="23" spans="2:13" ht="15.75" customHeight="1"/>
    <row r="24" spans="2:13" ht="15.75" customHeight="1"/>
    <row r="25" spans="2:13" ht="15.75" customHeight="1"/>
    <row r="26" spans="2:13" ht="15.75" customHeight="1"/>
    <row r="27" spans="2:13" ht="15.75" customHeight="1"/>
    <row r="28" spans="2:13" ht="15.75" customHeight="1"/>
    <row r="29" spans="2:13" ht="15.75" customHeight="1"/>
    <row r="30" spans="2:13" ht="15.75" customHeight="1"/>
    <row r="31" spans="2:13" ht="15.75" customHeight="1"/>
    <row r="32" spans="2:13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</sheetData>
  <phoneticPr fontId="31" type="noConversion"/>
  <conditionalFormatting sqref="E18:E20">
    <cfRule type="containsBlanks" dxfId="7" priority="2">
      <formula>LEN(TRIM(E18))=0</formula>
    </cfRule>
  </conditionalFormatting>
  <conditionalFormatting sqref="G20 I20">
    <cfRule type="containsBlanks" dxfId="6" priority="4">
      <formula>LEN(TRIM(G20))=0</formula>
    </cfRule>
  </conditionalFormatting>
  <conditionalFormatting sqref="G10:H13 H14 G15:H17">
    <cfRule type="containsBlanks" dxfId="5" priority="10">
      <formula>LEN(TRIM(G10))=0</formula>
    </cfRule>
  </conditionalFormatting>
  <conditionalFormatting sqref="H9 G10:H13 H14 G15:H17">
    <cfRule type="containsBlanks" priority="11">
      <formula>LEN(TRIM(G9))=0</formula>
    </cfRule>
  </conditionalFormatting>
  <conditionalFormatting sqref="H9:J9 G10:J20">
    <cfRule type="containsBlanks" dxfId="4" priority="1">
      <formula>LEN(TRIM(G9))=0</formula>
    </cfRule>
  </conditionalFormatting>
  <conditionalFormatting sqref="I9:J17">
    <cfRule type="containsBlanks" dxfId="3" priority="6">
      <formula>LEN(TRIM(I9))=0</formula>
    </cfRule>
    <cfRule type="containsBlanks" priority="7">
      <formula>LEN(TRIM(I9))=0</formula>
    </cfRule>
  </conditionalFormatting>
  <pageMargins left="0.7" right="0.7" top="0.75" bottom="0.75" header="0" footer="0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B6D7A8"/>
    <outlinePr summaryBelow="0" summaryRight="0"/>
  </sheetPr>
  <dimension ref="A1:J919"/>
  <sheetViews>
    <sheetView showGridLines="0" zoomScaleNormal="100" zoomScalePageLayoutView="80" workbookViewId="0">
      <selection activeCell="G38" sqref="G38"/>
    </sheetView>
  </sheetViews>
  <sheetFormatPr defaultColWidth="12.453125" defaultRowHeight="15" customHeight="1"/>
  <cols>
    <col min="1" max="1" width="2.453125" style="3" customWidth="1"/>
    <col min="2" max="2" width="26.81640625" style="3" customWidth="1"/>
    <col min="3" max="7" width="22.7265625" style="3" customWidth="1"/>
    <col min="8" max="8" width="2.453125" style="3" customWidth="1"/>
    <col min="9" max="9" width="68.453125" style="3" bestFit="1" customWidth="1"/>
    <col min="10" max="16384" width="12.453125" style="3"/>
  </cols>
  <sheetData>
    <row r="1" spans="1:10" ht="15" customHeight="1">
      <c r="C1" s="6"/>
      <c r="D1" s="6"/>
      <c r="E1" s="6"/>
    </row>
    <row r="2" spans="1:10" ht="15.75" customHeight="1">
      <c r="A2" s="4"/>
      <c r="B2" s="88" t="s">
        <v>336</v>
      </c>
      <c r="C2" s="257" t="s">
        <v>241</v>
      </c>
      <c r="D2" s="257">
        <v>1</v>
      </c>
      <c r="E2" s="257">
        <v>2</v>
      </c>
      <c r="F2" s="257">
        <v>3</v>
      </c>
      <c r="G2" s="257" t="str">
        <f>B21</f>
        <v>TV after Year 1</v>
      </c>
      <c r="H2" s="12"/>
      <c r="I2" s="12"/>
    </row>
    <row r="3" spans="1:10" ht="15.75" customHeight="1">
      <c r="B3" s="28" t="str">
        <f>"(Numbers in "&amp;Data!C4&amp;Dashboard!I11&amp;")"</f>
        <v>(Numbers in 1000CNY)</v>
      </c>
      <c r="C3" s="253">
        <f>Operation!C3</f>
        <v>44926</v>
      </c>
      <c r="D3" s="253">
        <f>Operation!E3</f>
        <v>45291</v>
      </c>
      <c r="E3" s="253" t="str">
        <f>Operation!G3</f>
        <v/>
      </c>
      <c r="F3" s="253" t="str">
        <f>Operation!I3</f>
        <v/>
      </c>
      <c r="G3" s="27" t="s">
        <v>240</v>
      </c>
      <c r="I3" s="70" t="s">
        <v>132</v>
      </c>
    </row>
    <row r="4" spans="1:10" ht="15.75" customHeight="1">
      <c r="B4" s="5" t="s">
        <v>78</v>
      </c>
      <c r="C4" s="175">
        <f>Operation!C20</f>
        <v>593.25</v>
      </c>
      <c r="D4" s="44">
        <f>Operation!E20</f>
        <v>640.71000000002095</v>
      </c>
      <c r="E4" s="44" t="str">
        <f>Operation!G20</f>
        <v/>
      </c>
      <c r="F4" s="192" t="str">
        <f>Operation!I20</f>
        <v/>
      </c>
      <c r="G4" s="273">
        <f>IF(F3="",IF(E3="",1,2),3)</f>
        <v>1</v>
      </c>
      <c r="H4" s="6"/>
      <c r="I4" s="77"/>
      <c r="J4" s="55"/>
    </row>
    <row r="5" spans="1:10" ht="15.75" customHeight="1">
      <c r="B5" s="17" t="s">
        <v>252</v>
      </c>
      <c r="C5" s="233"/>
      <c r="D5" s="234">
        <f>D4/C4-1</f>
        <v>8.0000000000035376E-2</v>
      </c>
      <c r="E5" s="234" t="str">
        <f>IF(E4="","",E4/D4-1)</f>
        <v/>
      </c>
      <c r="F5" s="234" t="str">
        <f>IF(F4="","",F4/E4-1)</f>
        <v/>
      </c>
      <c r="G5" s="189"/>
      <c r="H5" s="6"/>
      <c r="I5" s="77"/>
      <c r="J5" s="55"/>
    </row>
    <row r="6" spans="1:10" ht="15.75" customHeight="1">
      <c r="B6" s="17" t="s">
        <v>66</v>
      </c>
      <c r="C6" s="64">
        <v>0.3</v>
      </c>
      <c r="D6" s="213">
        <f>C6</f>
        <v>0.3</v>
      </c>
      <c r="E6" s="64"/>
      <c r="F6" s="277"/>
      <c r="G6" s="190"/>
      <c r="H6" s="6"/>
      <c r="I6" s="75"/>
    </row>
    <row r="7" spans="1:10" ht="15" customHeight="1" thickBot="1">
      <c r="B7" s="79" t="s">
        <v>248</v>
      </c>
      <c r="C7" s="278">
        <f>C4*C6</f>
        <v>177.97499999999999</v>
      </c>
      <c r="D7" s="278">
        <f>D4*D6</f>
        <v>192.21300000000628</v>
      </c>
      <c r="E7" s="279"/>
      <c r="F7" s="279"/>
      <c r="G7" s="191"/>
      <c r="H7" s="80"/>
      <c r="I7" s="55"/>
      <c r="J7" s="55"/>
    </row>
    <row r="8" spans="1:10" ht="15.75" customHeight="1" thickTop="1">
      <c r="B8" s="17" t="s">
        <v>140</v>
      </c>
      <c r="C8" s="183">
        <f>IF(C4="","",C4-C7)</f>
        <v>415.27499999999998</v>
      </c>
      <c r="D8" s="182">
        <f>D4-D7</f>
        <v>448.49700000001468</v>
      </c>
      <c r="E8" s="182" t="str">
        <f>IF(E4="","",E4-E7)</f>
        <v/>
      </c>
      <c r="F8" s="182" t="str">
        <f>IF(F4="","",F4-F7)</f>
        <v/>
      </c>
      <c r="G8" s="362"/>
      <c r="H8" s="80"/>
      <c r="I8" s="55"/>
      <c r="J8" s="55"/>
    </row>
    <row r="9" spans="1:10" ht="15.75" customHeight="1">
      <c r="B9" s="194" t="s">
        <v>207</v>
      </c>
      <c r="C9" s="184">
        <f>C8/(Common_Shares/Data!$C$4)</f>
        <v>3.1145701743009096E-4</v>
      </c>
      <c r="D9" s="275">
        <f>D8/(Common_Shares/Data!$C$4)</f>
        <v>3.3637357882450926E-4</v>
      </c>
      <c r="E9" s="275" t="str">
        <f>IF(E8="","",E8/(Common_Shares/Data!$C$4))</f>
        <v/>
      </c>
      <c r="F9" s="275" t="str">
        <f>IF(F8="","",F8/(Common_Shares/Data!$C$4))</f>
        <v/>
      </c>
      <c r="G9" s="381">
        <f>IF(F4="",IF(E4="",D8,E8),F8)*Data!C$4/Dashboard!I5</f>
        <v>3.3637357882450921E-4</v>
      </c>
      <c r="H9" s="80"/>
      <c r="I9" s="55"/>
      <c r="J9" s="55"/>
    </row>
    <row r="10" spans="1:10" ht="15.75" customHeight="1">
      <c r="B10" s="17" t="s">
        <v>141</v>
      </c>
      <c r="C10" s="181"/>
      <c r="D10" s="210">
        <f ca="1">Dashboard!C12</f>
        <v>0.08</v>
      </c>
      <c r="E10" s="18" t="str">
        <f>IF(E4="","",D10)</f>
        <v/>
      </c>
      <c r="F10" s="18" t="str">
        <f>IF(F4="","",D10)</f>
        <v/>
      </c>
      <c r="G10" s="379">
        <f ca="1">Dashboard!C12</f>
        <v>0.08</v>
      </c>
      <c r="H10" s="61"/>
      <c r="I10" s="56"/>
      <c r="J10" s="56"/>
    </row>
    <row r="11" spans="1:10" ht="15.75" customHeight="1" thickBot="1">
      <c r="B11" s="81" t="s">
        <v>142</v>
      </c>
      <c r="C11" s="110"/>
      <c r="D11" s="211">
        <f ca="1">IF(D4="","",1+D10)</f>
        <v>1.08</v>
      </c>
      <c r="E11" s="212" t="str">
        <f>IF(E4="","",(1+D10)*(1+E10))</f>
        <v/>
      </c>
      <c r="F11" s="212" t="str">
        <f>IF(F4="","",(1+D10)*(1+E10)*(1+F10))</f>
        <v/>
      </c>
      <c r="G11" s="382">
        <f ca="1">IF(F4="",IF(E4="",D11,E11),F11)*(1+G10)</f>
        <v>1.1664000000000001</v>
      </c>
      <c r="H11" s="61"/>
      <c r="I11" s="56"/>
      <c r="J11" s="56"/>
    </row>
    <row r="12" spans="1:10" ht="15.75" customHeight="1" thickTop="1">
      <c r="B12" s="8" t="s">
        <v>342</v>
      </c>
      <c r="C12" s="328"/>
      <c r="D12" s="186">
        <f ca="1">IF(D9="","",D9/D11)</f>
        <v>3.1145701743010115E-4</v>
      </c>
      <c r="E12" s="187" t="str">
        <f>IF(E9="","",E9/E11)</f>
        <v/>
      </c>
      <c r="F12" s="187" t="str">
        <f>IF(F9="","",F9/F11)</f>
        <v/>
      </c>
      <c r="G12" s="383"/>
      <c r="H12" s="78"/>
      <c r="I12" s="55"/>
      <c r="J12" s="55"/>
    </row>
    <row r="13" spans="1:10" ht="15.75" customHeight="1">
      <c r="F13" s="6"/>
      <c r="G13" s="111"/>
    </row>
    <row r="14" spans="1:10" ht="15.75" customHeight="1">
      <c r="B14" s="339" t="s">
        <v>210</v>
      </c>
      <c r="C14" s="185" t="str">
        <f>B3</f>
        <v>(Numbers in 1000CNY)</v>
      </c>
      <c r="E14" s="70" t="s">
        <v>211</v>
      </c>
    </row>
    <row r="15" spans="1:10" ht="15.75" customHeight="1">
      <c r="B15" s="57" t="s">
        <v>222</v>
      </c>
      <c r="C15" s="82">
        <f>Asset_Model!E59</f>
        <v>2286686.7000000002</v>
      </c>
      <c r="D15" s="207">
        <f>C15/(Dashboard!I5/Data!C4)</f>
        <v>1.7150192508074342</v>
      </c>
      <c r="E15" s="83" t="s">
        <v>220</v>
      </c>
      <c r="G15" s="130">
        <f>C15+C16+C17+C18</f>
        <v>2443164.2000000002</v>
      </c>
    </row>
    <row r="16" spans="1:10" ht="15.75" customHeight="1">
      <c r="B16" s="57" t="s">
        <v>226</v>
      </c>
      <c r="C16" s="82">
        <f>Asset_Model!E58</f>
        <v>180388.5</v>
      </c>
      <c r="D16" s="207">
        <f>C16/(Dashboard!I5/Data!C4)</f>
        <v>0.13529170835876941</v>
      </c>
      <c r="E16" s="83" t="s">
        <v>302</v>
      </c>
      <c r="G16" s="188">
        <f>(G15+MIN(D4,0))*Data!C$4/Dashboard!I5</f>
        <v>1.8323776649785666</v>
      </c>
    </row>
    <row r="17" spans="1:9" ht="15.75" customHeight="1">
      <c r="B17" s="57" t="s">
        <v>212</v>
      </c>
      <c r="C17" s="82">
        <f>-Asset_Model!D52</f>
        <v>-16614</v>
      </c>
      <c r="D17" s="207">
        <f>C17/(Dashboard!I5/Data!C4)</f>
        <v>-1.2460530702747653E-2</v>
      </c>
      <c r="E17" s="489" t="str">
        <f>IF(F18+G18=G16,"⇒","Error!")</f>
        <v>⇒</v>
      </c>
      <c r="F17" s="139" t="s">
        <v>227</v>
      </c>
      <c r="G17" s="85" t="s">
        <v>22</v>
      </c>
    </row>
    <row r="18" spans="1:9" ht="15.75" customHeight="1">
      <c r="B18" s="83" t="s">
        <v>221</v>
      </c>
      <c r="C18" s="82">
        <f>-Asset_Model!E50</f>
        <v>-7297</v>
      </c>
      <c r="D18" s="207">
        <f>C18/(Dashboard!I5/Data!C4)</f>
        <v>-5.4727634848892271E-3</v>
      </c>
      <c r="E18" s="489"/>
      <c r="F18" s="141">
        <f>D15+(MIN(D4,0)*Data!C$4/Dashboard!I5)</f>
        <v>1.7150192508074342</v>
      </c>
      <c r="G18" s="140">
        <f>SUM(D16:D18)</f>
        <v>0.11735841417113253</v>
      </c>
    </row>
    <row r="19" spans="1:9" ht="15.75" customHeight="1">
      <c r="F19" s="6"/>
      <c r="G19" s="6"/>
    </row>
    <row r="20" spans="1:9" ht="15.75" customHeight="1">
      <c r="B20" s="25" t="s">
        <v>348</v>
      </c>
      <c r="C20" s="185" t="str">
        <f>B3</f>
        <v>(Numbers in 1000CNY)</v>
      </c>
      <c r="E20" s="490" t="s">
        <v>216</v>
      </c>
      <c r="F20" s="490"/>
      <c r="G20" s="92"/>
    </row>
    <row r="21" spans="1:9" ht="15.75" customHeight="1">
      <c r="B21" s="121" t="str">
        <f>"TV after Year "&amp;G4</f>
        <v>TV after Year 1</v>
      </c>
      <c r="C21" s="121" t="s">
        <v>214</v>
      </c>
      <c r="D21" s="193" t="s">
        <v>209</v>
      </c>
      <c r="E21" s="274" t="s">
        <v>215</v>
      </c>
      <c r="F21" s="241" t="str">
        <f>"Equity Value ("&amp;Dashboard!I11&amp;")"</f>
        <v>Equity Value (CNY)</v>
      </c>
      <c r="G21" s="334" t="str">
        <f>"Equity Value ("&amp;Dashboard!J4&amp;")"</f>
        <v>Equity Value (HKD)</v>
      </c>
      <c r="I21" s="84"/>
    </row>
    <row r="22" spans="1:9" ht="15.75" customHeight="1">
      <c r="B22" s="29" t="s">
        <v>273</v>
      </c>
      <c r="C22" s="14">
        <f>1/D22</f>
        <v>0.2</v>
      </c>
      <c r="D22" s="269">
        <v>5</v>
      </c>
      <c r="E22" s="196">
        <f ca="1">IF(G9&lt;0,G9,G9*D22/G11)</f>
        <v>1.441930636250468E-3</v>
      </c>
      <c r="F22" s="332">
        <f ca="1">SUM(D12:F12)+E22+$G$16</f>
        <v>1.8341310526322472</v>
      </c>
      <c r="G22" s="335">
        <f ca="1">ROUND(F22*Exchange_Rate,2)</f>
        <v>2</v>
      </c>
      <c r="I22" s="72"/>
    </row>
    <row r="23" spans="1:9" ht="15.75" customHeight="1" thickBot="1">
      <c r="B23" s="329" t="s">
        <v>274</v>
      </c>
      <c r="C23" s="330">
        <f>1/D23</f>
        <v>0.125</v>
      </c>
      <c r="D23" s="282">
        <v>8</v>
      </c>
      <c r="E23" s="331">
        <f ca="1">IF(G9&lt;0,G9,G9*D23/G11)</f>
        <v>2.3070890180007489E-3</v>
      </c>
      <c r="F23" s="333">
        <f ca="1">SUM(D12:F12)+E23+$G$16</f>
        <v>1.8349962110139975</v>
      </c>
      <c r="G23" s="336">
        <f ca="1">ROUND(F23*Exchange_Rate,2)</f>
        <v>2</v>
      </c>
      <c r="I23" s="72"/>
    </row>
    <row r="24" spans="1:9" ht="15.5" customHeight="1" thickTop="1">
      <c r="C24" s="6"/>
      <c r="D24" s="6"/>
      <c r="E24" s="491" t="s">
        <v>347</v>
      </c>
      <c r="F24" s="492"/>
      <c r="G24" s="363">
        <f ca="1">MIN(G22,G23)+ABS(G22-G23)*'Qualitative Analysis'!$E$64</f>
        <v>2</v>
      </c>
    </row>
    <row r="25" spans="1:9" ht="15.75" customHeight="1"/>
    <row r="26" spans="1:9" ht="15.75" customHeight="1">
      <c r="A26" s="4"/>
      <c r="B26" s="88" t="s">
        <v>337</v>
      </c>
      <c r="C26" s="257" t="s">
        <v>241</v>
      </c>
      <c r="D26" s="257">
        <v>1</v>
      </c>
      <c r="E26" s="257">
        <v>2</v>
      </c>
      <c r="F26" s="257">
        <v>3</v>
      </c>
      <c r="G26" s="257" t="str">
        <f>G2</f>
        <v>TV after Year 1</v>
      </c>
      <c r="H26" s="12"/>
      <c r="I26" s="12"/>
    </row>
    <row r="27" spans="1:9" ht="15.75" customHeight="1">
      <c r="B27" s="28" t="str">
        <f>B3</f>
        <v>(Numbers in 1000CNY)</v>
      </c>
      <c r="C27" s="253">
        <f>C3</f>
        <v>44926</v>
      </c>
      <c r="D27" s="253">
        <f>D3</f>
        <v>45291</v>
      </c>
      <c r="E27" s="253" t="str">
        <f>E3</f>
        <v/>
      </c>
      <c r="F27" s="253" t="str">
        <f>F3</f>
        <v/>
      </c>
      <c r="G27" s="27" t="str">
        <f>G3</f>
        <v>Terminal Value</v>
      </c>
      <c r="I27" s="72" t="s">
        <v>363</v>
      </c>
    </row>
    <row r="28" spans="1:9" ht="15.75" customHeight="1">
      <c r="B28" s="5" t="s">
        <v>140</v>
      </c>
      <c r="C28" s="26">
        <f>C4</f>
        <v>593.25</v>
      </c>
      <c r="D28" s="26">
        <f>D4</f>
        <v>640.71000000002095</v>
      </c>
      <c r="E28" s="26" t="str">
        <f>E4</f>
        <v/>
      </c>
      <c r="F28" s="359" t="str">
        <f>F4</f>
        <v/>
      </c>
      <c r="G28" s="384">
        <f>D28*1.02</f>
        <v>653.52420000002144</v>
      </c>
      <c r="I28" s="72" t="s">
        <v>360</v>
      </c>
    </row>
    <row r="29" spans="1:9" ht="15.75" customHeight="1">
      <c r="B29" s="360" t="s">
        <v>338</v>
      </c>
      <c r="C29" s="64">
        <v>0.06</v>
      </c>
      <c r="D29" s="213">
        <v>0.08</v>
      </c>
      <c r="E29" s="64"/>
      <c r="F29" s="277"/>
      <c r="G29" s="277">
        <v>0.06</v>
      </c>
      <c r="I29" s="72" t="s">
        <v>352</v>
      </c>
    </row>
    <row r="30" spans="1:9" ht="15.75" customHeight="1">
      <c r="B30" s="360" t="s">
        <v>350</v>
      </c>
      <c r="C30" s="385">
        <f>MAX(Asset_Model!D52,0)</f>
        <v>16614</v>
      </c>
      <c r="D30" s="367">
        <v>87127</v>
      </c>
      <c r="E30" s="366"/>
      <c r="F30" s="366"/>
      <c r="G30" s="366">
        <f>IF(F30&lt;&gt;"",F30,IF(E30&lt;&gt;"",E30,D30))*1.4</f>
        <v>121977.79999999999</v>
      </c>
      <c r="I30" s="72" t="s">
        <v>351</v>
      </c>
    </row>
    <row r="31" spans="1:9" ht="15.75" customHeight="1">
      <c r="B31" s="360" t="s">
        <v>356</v>
      </c>
      <c r="C31" s="386">
        <f>Operation!C18</f>
        <v>0.25</v>
      </c>
      <c r="D31" s="386">
        <f>Operation!E18</f>
        <v>0.25</v>
      </c>
      <c r="E31" s="386" t="str">
        <f>Operation!G18</f>
        <v/>
      </c>
      <c r="F31" s="386" t="str">
        <f>Operation!I18</f>
        <v/>
      </c>
      <c r="G31" s="386">
        <f>IF(F31&lt;&gt;"",F31,IF(E31&lt;&gt;"",E31,D31))</f>
        <v>0.25</v>
      </c>
      <c r="I31" s="72"/>
    </row>
    <row r="32" spans="1:9" ht="15.75" customHeight="1" thickBot="1">
      <c r="B32" s="361" t="s">
        <v>355</v>
      </c>
      <c r="C32" s="364">
        <f>C30*(C29*(1-Operation!C18))</f>
        <v>747.63</v>
      </c>
      <c r="D32" s="364">
        <f>(D30*D29)*(1-D31)</f>
        <v>5227.62</v>
      </c>
      <c r="E32" s="365" t="str">
        <f>IF(E28="","",(E30*E29)*(1-E31))</f>
        <v/>
      </c>
      <c r="F32" s="365" t="str">
        <f>IF(F28="","",(F30*F29)*(1-F31))</f>
        <v/>
      </c>
      <c r="G32" s="364">
        <f>(G30*G29)*(1-Operation!E18)</f>
        <v>5489.0009999999993</v>
      </c>
      <c r="I32" s="72"/>
    </row>
    <row r="33" spans="1:9" ht="15.75" customHeight="1" thickTop="1">
      <c r="B33" s="360" t="s">
        <v>339</v>
      </c>
      <c r="C33" s="183">
        <f>C28-C32</f>
        <v>-154.38</v>
      </c>
      <c r="D33" s="182">
        <f>D28-D32</f>
        <v>-4586.9099999999789</v>
      </c>
      <c r="E33" s="182" t="str">
        <f>IF(E28="","",E28-E32)</f>
        <v/>
      </c>
      <c r="F33" s="182" t="str">
        <f>IF(F28="","",F28-F32)</f>
        <v/>
      </c>
      <c r="G33" s="369">
        <f>G28-G32</f>
        <v>-4835.4767999999776</v>
      </c>
      <c r="I33" s="72" t="s">
        <v>344</v>
      </c>
    </row>
    <row r="34" spans="1:9" ht="15.75" customHeight="1">
      <c r="B34" s="267" t="s">
        <v>340</v>
      </c>
      <c r="C34" s="184">
        <f>C33/(Common_Shares/Data!$C$4)</f>
        <v>-1.1578528529494297E-4</v>
      </c>
      <c r="D34" s="275">
        <f>D33/(Common_Shares/Data!$C$4)</f>
        <v>-3.4401909766305508E-3</v>
      </c>
      <c r="E34" s="275" t="str">
        <f>IF(E33="","",E33/(Common_Shares/Data!$C$4))</f>
        <v/>
      </c>
      <c r="F34" s="275" t="str">
        <f>IF(F33="","",F33/(Common_Shares/Data!$C$4))</f>
        <v/>
      </c>
      <c r="G34" s="184">
        <f>G33/(Common_Shares/Data!$C$4)</f>
        <v>-3.6266165359831281E-3</v>
      </c>
      <c r="H34" s="6"/>
      <c r="I34" s="72"/>
    </row>
    <row r="35" spans="1:9" ht="15.75" customHeight="1">
      <c r="B35" s="360" t="s">
        <v>346</v>
      </c>
      <c r="C35" s="368">
        <f>Dashboard!C31</f>
        <v>1.71</v>
      </c>
      <c r="D35" s="210">
        <f ca="1">D10</f>
        <v>0.08</v>
      </c>
      <c r="E35" s="18" t="str">
        <f>IF(E10="","",E10)</f>
        <v/>
      </c>
      <c r="F35" s="18" t="str">
        <f>IF(F10="","",F10)</f>
        <v/>
      </c>
      <c r="G35" s="379">
        <f ca="1">G10</f>
        <v>0.08</v>
      </c>
      <c r="I35" s="72"/>
    </row>
    <row r="36" spans="1:9" ht="15.75" customHeight="1" thickBot="1">
      <c r="B36" s="361" t="s">
        <v>345</v>
      </c>
      <c r="C36" s="373"/>
      <c r="D36" s="374">
        <f ca="1">C35*D35</f>
        <v>0.1368</v>
      </c>
      <c r="E36" s="375" t="str">
        <f>IF(E35="","", $D$36)</f>
        <v/>
      </c>
      <c r="F36" s="375" t="str">
        <f>IF(F35="","", $D$36)</f>
        <v/>
      </c>
      <c r="G36" s="380">
        <f ca="1">D36</f>
        <v>0.1368</v>
      </c>
      <c r="H36" s="6"/>
      <c r="I36" s="72"/>
    </row>
    <row r="37" spans="1:9" ht="15.75" customHeight="1" thickTop="1">
      <c r="B37" s="5" t="s">
        <v>341</v>
      </c>
      <c r="C37" s="389">
        <f>'Qualitative Analysis'!E64^2</f>
        <v>0.19437901337405711</v>
      </c>
      <c r="D37" s="371">
        <f ca="1">D34-D36</f>
        <v>-0.14024019097663057</v>
      </c>
      <c r="E37" s="371" t="str">
        <f>IF(E34="","",E34-E36)</f>
        <v/>
      </c>
      <c r="F37" s="371" t="str">
        <f>IF(F34="","",F34-F36)</f>
        <v/>
      </c>
      <c r="G37" s="372">
        <f ca="1">G34-G36</f>
        <v>-0.14042661653598312</v>
      </c>
      <c r="I37" s="72" t="s">
        <v>343</v>
      </c>
    </row>
    <row r="38" spans="1:9" ht="15.75" customHeight="1" thickBot="1">
      <c r="B38" s="5" t="s">
        <v>142</v>
      </c>
      <c r="C38" s="370"/>
      <c r="D38" s="376">
        <f ca="1">D11</f>
        <v>1.08</v>
      </c>
      <c r="E38" s="376" t="str">
        <f>E11</f>
        <v/>
      </c>
      <c r="F38" s="376" t="str">
        <f>F11</f>
        <v/>
      </c>
      <c r="G38" s="376">
        <f ca="1">IF(F30="",IF(E30="",D38,E38),F38)*(1+G35-C37)</f>
        <v>0.95647066555601856</v>
      </c>
      <c r="I38" s="72"/>
    </row>
    <row r="39" spans="1:9" ht="15.75" customHeight="1" thickTop="1">
      <c r="B39" s="5" t="s">
        <v>354</v>
      </c>
      <c r="C39" s="377"/>
      <c r="D39" s="378">
        <f ca="1">D37/D38</f>
        <v>-0.12985202868206533</v>
      </c>
      <c r="E39" s="378" t="str">
        <f>IF(E37="","",E37/E38)</f>
        <v/>
      </c>
      <c r="F39" s="378" t="str">
        <f>IF(F37="","",F37/F38)</f>
        <v/>
      </c>
      <c r="G39" s="378">
        <f ca="1">G37/G38</f>
        <v>-0.14681748389465754</v>
      </c>
      <c r="I39" s="72"/>
    </row>
    <row r="40" spans="1:9" ht="15.75" customHeight="1" thickBot="1">
      <c r="B40" s="6"/>
      <c r="C40" s="6"/>
      <c r="D40" s="6"/>
      <c r="E40" s="493" t="s">
        <v>364</v>
      </c>
      <c r="F40" s="494"/>
      <c r="G40" s="387">
        <f>Asset_Model!D7</f>
        <v>1.6090780512242446</v>
      </c>
    </row>
    <row r="41" spans="1:9" ht="15.75" customHeight="1" thickTop="1">
      <c r="E41" s="491" t="s">
        <v>349</v>
      </c>
      <c r="F41" s="492"/>
      <c r="G41" s="363">
        <f ca="1">(G40+SUM(D39:G39))*Exchange_Rate</f>
        <v>1.4535524085914557</v>
      </c>
    </row>
    <row r="42" spans="1:9" ht="15.5" customHeight="1"/>
    <row r="43" spans="1:9" ht="15.75" customHeight="1">
      <c r="B43" s="25" t="s">
        <v>309</v>
      </c>
      <c r="C43" s="487" t="s">
        <v>143</v>
      </c>
      <c r="D43" s="488"/>
      <c r="E43" s="29" t="s">
        <v>208</v>
      </c>
      <c r="F43" s="29" t="s">
        <v>18</v>
      </c>
      <c r="G43" s="29"/>
    </row>
    <row r="44" spans="1:9" ht="15.75" customHeight="1">
      <c r="B44" s="232" t="s">
        <v>307</v>
      </c>
      <c r="C44" s="230">
        <f ca="1">MIN(G24,G41)+ABS(G24-G41)*'Qualitative Analysis'!$E$8</f>
        <v>1.8032788670929241</v>
      </c>
      <c r="D44" s="115" t="str">
        <f>Dashboard!J4</f>
        <v>HKD</v>
      </c>
      <c r="E44" s="116">
        <f ca="1">(C44-G16)/C9</f>
        <v>-93.427973226430751</v>
      </c>
      <c r="F44" s="151">
        <f ca="1">C44/(Data!C28*Exchange_Rate*Data!C4/Common_Shares)</f>
        <v>0.78161626104822401</v>
      </c>
      <c r="G44" s="85"/>
    </row>
    <row r="45" spans="1:9" ht="15.75" customHeight="1"/>
    <row r="46" spans="1:9" ht="15.75" customHeight="1">
      <c r="A46" s="4"/>
      <c r="B46" s="88" t="s">
        <v>303</v>
      </c>
      <c r="E46" s="29" t="s">
        <v>208</v>
      </c>
      <c r="F46" s="29" t="s">
        <v>18</v>
      </c>
      <c r="G46" s="126"/>
      <c r="H46" s="126"/>
      <c r="I46" s="194"/>
    </row>
    <row r="47" spans="1:9" ht="15.75" customHeight="1">
      <c r="B47" s="325" t="s">
        <v>357</v>
      </c>
      <c r="C47" s="327">
        <f>Asset_Model!I3*Exchange_Rate*Data!C4/Common_Shares*1.01</f>
        <v>2.3241564390503244</v>
      </c>
      <c r="D47" s="326" t="str">
        <f>D44</f>
        <v>HKD</v>
      </c>
      <c r="E47" s="116">
        <f>(C47-G16)/C9</f>
        <v>1578.9619323062502</v>
      </c>
      <c r="F47" s="151">
        <f>C47/(Asset_Model!I3*Exchange_Rate*Data!C4/Common_Shares)</f>
        <v>1.01</v>
      </c>
      <c r="I47" s="72" t="s">
        <v>377</v>
      </c>
    </row>
    <row r="48" spans="1:9" ht="15.75" customHeight="1">
      <c r="B48" s="340" t="s">
        <v>358</v>
      </c>
      <c r="C48" s="338">
        <f ca="1">MIN(C47,C44)+ABS(C47-C44)*'Qualitative Analysis'!E64</f>
        <v>2.0329256387838024</v>
      </c>
      <c r="D48" s="326" t="str">
        <f>D47</f>
        <v>HKD</v>
      </c>
      <c r="E48" s="116">
        <f ca="1">(C48-G16)/C9</f>
        <v>643.90256947814771</v>
      </c>
      <c r="F48" s="151">
        <f ca="1">C48/(Asset_Model!I3*Exchange_Rate*Data!C4/Common_Shares)</f>
        <v>0.88344091674423719</v>
      </c>
      <c r="I48" s="72"/>
    </row>
    <row r="49" spans="2:6" ht="15.75" customHeight="1">
      <c r="B49" s="325" t="s">
        <v>308</v>
      </c>
      <c r="C49" s="338">
        <f ca="1">MAX(G41,C44)/(1+Dashboard!I14)</f>
        <v>1.4426230936743392</v>
      </c>
      <c r="D49" s="326" t="str">
        <f>D47</f>
        <v>HKD</v>
      </c>
      <c r="E49" s="116">
        <f ca="1">(C49-G16)/C9</f>
        <v>-1251.3912016501954</v>
      </c>
      <c r="F49" s="151">
        <f ca="1">C49/(Asset_Model!I3*Exchange_Rate*Data!C4/Common_Shares)</f>
        <v>0.6269153401766917</v>
      </c>
    </row>
    <row r="50" spans="2:6" ht="15.75" customHeight="1"/>
    <row r="51" spans="2:6" ht="15.75" customHeight="1"/>
    <row r="52" spans="2:6" ht="15.75" customHeight="1"/>
    <row r="53" spans="2:6" ht="15.75" customHeight="1"/>
    <row r="54" spans="2:6" ht="15.75" customHeight="1"/>
    <row r="55" spans="2:6" ht="15.75" customHeight="1"/>
    <row r="56" spans="2:6" ht="15.75" customHeight="1"/>
    <row r="57" spans="2:6" ht="15.75" customHeight="1"/>
    <row r="58" spans="2:6" ht="15.75" customHeight="1"/>
    <row r="59" spans="2:6" ht="15.75" customHeight="1"/>
    <row r="60" spans="2:6" ht="15.75" customHeight="1"/>
    <row r="61" spans="2:6" ht="15.75" customHeight="1"/>
    <row r="62" spans="2:6" ht="15.75" customHeight="1"/>
    <row r="63" spans="2:6" ht="15.75" customHeight="1"/>
    <row r="64" spans="2:6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</sheetData>
  <mergeCells count="6">
    <mergeCell ref="C43:D43"/>
    <mergeCell ref="E17:E18"/>
    <mergeCell ref="E20:F20"/>
    <mergeCell ref="E24:F24"/>
    <mergeCell ref="E41:F41"/>
    <mergeCell ref="E40:F40"/>
  </mergeCells>
  <phoneticPr fontId="31" type="noConversion"/>
  <conditionalFormatting sqref="E4:F12 E28:F39">
    <cfRule type="containsBlanks" dxfId="2" priority="14">
      <formula>LEN(TRIM(E4))=0</formula>
    </cfRule>
  </conditionalFormatting>
  <conditionalFormatting sqref="E22:G23">
    <cfRule type="cellIs" dxfId="1" priority="38" operator="equal">
      <formula>#REF!</formula>
    </cfRule>
  </conditionalFormatting>
  <conditionalFormatting sqref="G28:G32">
    <cfRule type="containsBlanks" dxfId="0" priority="1">
      <formula>LEN(TRIM(G28))=0</formula>
    </cfRule>
  </conditionalFormatting>
  <pageMargins left="0.7" right="0.7" top="0.75" bottom="0.75" header="0" footer="0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outlinePr summaryBelow="0" summaryRight="0"/>
  </sheetPr>
  <dimension ref="A2:H77"/>
  <sheetViews>
    <sheetView showGridLines="0" topLeftCell="A34" zoomScaleNormal="100" workbookViewId="0">
      <selection activeCell="E65" sqref="E65"/>
    </sheetView>
  </sheetViews>
  <sheetFormatPr defaultColWidth="12.453125" defaultRowHeight="15" customHeight="1"/>
  <cols>
    <col min="1" max="1" width="2.453125" style="3" customWidth="1"/>
    <col min="2" max="2" width="62.453125" style="3" customWidth="1"/>
    <col min="3" max="3" width="28.6328125" style="3" customWidth="1"/>
    <col min="4" max="4" width="10.6328125" style="3" customWidth="1"/>
    <col min="5" max="5" width="28.6328125" style="3" customWidth="1"/>
    <col min="6" max="6" width="5.7265625" style="3" customWidth="1"/>
    <col min="7" max="7" width="73.81640625" style="3" customWidth="1"/>
    <col min="8" max="16384" width="12.453125" style="3"/>
  </cols>
  <sheetData>
    <row r="2" spans="1:7">
      <c r="A2" s="4"/>
      <c r="B2" s="11" t="s">
        <v>144</v>
      </c>
      <c r="C2" s="91"/>
      <c r="D2" s="12"/>
      <c r="E2" s="12"/>
      <c r="G2" s="70" t="s">
        <v>132</v>
      </c>
    </row>
    <row r="3" spans="1:7" ht="14">
      <c r="B3" s="6" t="s">
        <v>256</v>
      </c>
      <c r="C3" s="92"/>
      <c r="D3" s="90">
        <f>IF(E3="Strongly disagree",0,IF(E3="disagree",1,IF(E3="unclear",2,IF(E3="agree",3,4))))</f>
        <v>3</v>
      </c>
      <c r="E3" s="30" t="s">
        <v>146</v>
      </c>
      <c r="G3" s="77"/>
    </row>
    <row r="4" spans="1:7" ht="14">
      <c r="B4" s="6" t="s">
        <v>258</v>
      </c>
      <c r="C4" s="92"/>
      <c r="D4" s="90">
        <f t="shared" ref="D4" si="0">IF(E4="Strongly disagree",0,IF(E4="disagree",1,IF(E4="unclear",2,IF(E4="agree",3,4))))</f>
        <v>4</v>
      </c>
      <c r="E4" s="30" t="s">
        <v>155</v>
      </c>
      <c r="G4" s="75"/>
    </row>
    <row r="5" spans="1:7" ht="14">
      <c r="B5" s="6" t="s">
        <v>253</v>
      </c>
      <c r="C5" s="92"/>
      <c r="D5" s="90">
        <f>AVERAGE(D12:D16)</f>
        <v>1.6</v>
      </c>
      <c r="E5" s="98" t="str">
        <f>IF(D5&gt;=3.5,"Strongly agree",IF(D5&gt;=2.5,"agree",IF(D5&gt;=1.5,"unclear",IF(D5&gt;=0.5,"disagree","Strongly disagree"))))</f>
        <v>unclear</v>
      </c>
      <c r="G5" s="75"/>
    </row>
    <row r="6" spans="1:7" ht="14">
      <c r="B6" s="6" t="s">
        <v>254</v>
      </c>
      <c r="C6" s="92"/>
      <c r="D6" s="90">
        <f>AVERAGE(D24:D28)</f>
        <v>2.2000000000000002</v>
      </c>
      <c r="E6" s="98" t="str">
        <f>IF(D6&gt;=3.5,"Strongly agree",IF(D6&gt;=2.5,"agree",IF(D6&gt;=1.5,"unclear",IF(D6&gt;=0.5,"disagree","Strongly disagree"))))</f>
        <v>unclear</v>
      </c>
      <c r="G6" s="75"/>
    </row>
    <row r="7" spans="1:7" ht="14">
      <c r="B7" s="6" t="s">
        <v>255</v>
      </c>
      <c r="C7" s="92"/>
      <c r="D7" s="96">
        <f>IF(E7="Strongly disagree",0,IF(E7="disagree",1,IF(E7="unclear",2,IF(E7="agree",3,4))))</f>
        <v>2</v>
      </c>
      <c r="E7" s="97" t="str">
        <f>IF(D64&gt;=3.5,"Strongly agree",IF(D64&gt;=2.5,"agree",IF(D64&gt;=1.5,"unclear",IF(D64&gt;=0.5,"disagree","Strongly disagree"))))</f>
        <v>unclear</v>
      </c>
      <c r="G7" s="77"/>
    </row>
    <row r="8" spans="1:7" ht="14">
      <c r="B8" s="93" t="s">
        <v>147</v>
      </c>
      <c r="C8" s="92"/>
      <c r="D8" s="90">
        <f>AVERAGE(D3:D7)</f>
        <v>2.56</v>
      </c>
      <c r="E8" s="94">
        <f>D8/4</f>
        <v>0.64</v>
      </c>
      <c r="G8" s="75"/>
    </row>
    <row r="9" spans="1:7" ht="14">
      <c r="B9" s="92"/>
      <c r="C9" s="92"/>
      <c r="E9" s="6"/>
      <c r="G9" s="75"/>
    </row>
    <row r="10" spans="1:7" ht="15" customHeight="1">
      <c r="A10" s="4"/>
      <c r="B10" s="11" t="s">
        <v>148</v>
      </c>
      <c r="C10" s="20"/>
      <c r="D10" s="20"/>
      <c r="E10" s="12"/>
      <c r="G10" s="266"/>
    </row>
    <row r="11" spans="1:7" ht="15" customHeight="1">
      <c r="B11" s="95" t="s">
        <v>149</v>
      </c>
      <c r="C11" s="89"/>
      <c r="E11" s="6"/>
      <c r="G11" s="266"/>
    </row>
    <row r="12" spans="1:7" ht="15" customHeight="1">
      <c r="B12" s="52" t="s">
        <v>257</v>
      </c>
      <c r="D12" s="96">
        <f>IF(E12="Strongly disagree",0,IF(E12="disagree",1,IF(E12="unclear",2,IF(E12="agree",3,4))))</f>
        <v>1</v>
      </c>
      <c r="E12" s="30" t="s">
        <v>153</v>
      </c>
      <c r="F12" s="6"/>
      <c r="G12" s="266"/>
    </row>
    <row r="13" spans="1:7" ht="15" customHeight="1">
      <c r="B13" s="52" t="s">
        <v>150</v>
      </c>
      <c r="D13" s="96">
        <f>IF(E13="Strongly disagree",0,IF(E13="disagree",1,IF(E13="unclear",2,IF(E13="agree",3,4))))</f>
        <v>2</v>
      </c>
      <c r="E13" s="30" t="s">
        <v>145</v>
      </c>
      <c r="F13" s="6"/>
      <c r="G13" s="266"/>
    </row>
    <row r="14" spans="1:7" ht="15" customHeight="1">
      <c r="B14" s="52" t="s">
        <v>151</v>
      </c>
      <c r="D14" s="96">
        <f>IF(E14="Strongly disagree",0,IF(E14="disagree",1,IF(E14="unclear",2,IF(E14="agree",3,4))))</f>
        <v>1</v>
      </c>
      <c r="E14" s="30" t="s">
        <v>153</v>
      </c>
      <c r="F14" s="6"/>
      <c r="G14" s="266"/>
    </row>
    <row r="15" spans="1:7" ht="15" customHeight="1">
      <c r="B15" s="52" t="s">
        <v>152</v>
      </c>
      <c r="D15" s="96">
        <f>IF(E15="Strongly disagree",0,IF(E15="disagree",1,IF(E15="unclear",2,IF(E15="agree",3,4))))</f>
        <v>1</v>
      </c>
      <c r="E15" s="30" t="s">
        <v>153</v>
      </c>
      <c r="F15" s="6"/>
      <c r="G15" s="266"/>
    </row>
    <row r="16" spans="1:7" ht="15" customHeight="1">
      <c r="B16" s="52" t="s">
        <v>154</v>
      </c>
      <c r="D16" s="96">
        <f>IF(E16="Strongly disagree",0,IF(E16="disagree",1,IF(E16="unclear",2,IF(E16="agree",3,4))))</f>
        <v>3</v>
      </c>
      <c r="E16" s="30" t="s">
        <v>146</v>
      </c>
      <c r="F16" s="6"/>
      <c r="G16" s="266"/>
    </row>
    <row r="17" spans="2:7" ht="15" customHeight="1">
      <c r="B17" s="95" t="s">
        <v>156</v>
      </c>
      <c r="D17" s="37"/>
      <c r="E17" s="23"/>
      <c r="G17" s="266"/>
    </row>
    <row r="18" spans="2:7" ht="15" customHeight="1">
      <c r="B18" s="52" t="s">
        <v>277</v>
      </c>
      <c r="D18" s="96">
        <f>Asset_Model!J26</f>
        <v>4</v>
      </c>
      <c r="E18" s="48" t="str">
        <f>IF(D18&gt;=3.5,"Strongly agree",IF(D18&gt;=2.5,"agree",IF(D18&gt;=1.5,"unclear",IF(D18&gt;=0.5,"disagree","Strongly disagree"))))</f>
        <v>Strongly agree</v>
      </c>
      <c r="F18" s="6"/>
      <c r="G18" s="266"/>
    </row>
    <row r="19" spans="2:7" ht="15" customHeight="1">
      <c r="B19" s="52" t="s">
        <v>157</v>
      </c>
      <c r="D19" s="96">
        <f t="shared" ref="D19:D22" si="1">IF(E19="Strongly disagree",0,IF(E19="disagree",1,IF(E19="unclear",2,IF(E19="agree",3,4))))</f>
        <v>1</v>
      </c>
      <c r="E19" s="30" t="s">
        <v>153</v>
      </c>
      <c r="F19" s="6"/>
      <c r="G19" s="266"/>
    </row>
    <row r="20" spans="2:7" ht="15" customHeight="1">
      <c r="B20" s="52" t="s">
        <v>158</v>
      </c>
      <c r="D20" s="96">
        <f t="shared" si="1"/>
        <v>1</v>
      </c>
      <c r="E20" s="30" t="s">
        <v>153</v>
      </c>
      <c r="F20" s="6"/>
      <c r="G20" s="266"/>
    </row>
    <row r="21" spans="2:7" ht="15" customHeight="1">
      <c r="B21" s="52" t="s">
        <v>159</v>
      </c>
      <c r="D21" s="96">
        <f t="shared" si="1"/>
        <v>0</v>
      </c>
      <c r="E21" s="30" t="s">
        <v>168</v>
      </c>
      <c r="F21" s="6"/>
      <c r="G21" s="266"/>
    </row>
    <row r="22" spans="2:7" ht="15" customHeight="1">
      <c r="B22" s="52" t="s">
        <v>160</v>
      </c>
      <c r="D22" s="96">
        <f t="shared" si="1"/>
        <v>1</v>
      </c>
      <c r="E22" s="30" t="s">
        <v>153</v>
      </c>
      <c r="F22" s="6"/>
      <c r="G22" s="266"/>
    </row>
    <row r="23" spans="2:7" ht="15" customHeight="1">
      <c r="B23" s="95" t="s">
        <v>161</v>
      </c>
      <c r="D23" s="37"/>
      <c r="E23" s="23"/>
      <c r="G23" s="266"/>
    </row>
    <row r="24" spans="2:7" ht="15" customHeight="1">
      <c r="B24" s="52" t="s">
        <v>162</v>
      </c>
      <c r="D24" s="96">
        <f t="shared" ref="D24:D28" si="2">IF(E24="Strongly disagree",0,IF(E24="disagree",1,IF(E24="unclear",2,IF(E24="agree",3,4))))</f>
        <v>3</v>
      </c>
      <c r="E24" s="30" t="s">
        <v>146</v>
      </c>
      <c r="F24" s="6"/>
      <c r="G24" s="266"/>
    </row>
    <row r="25" spans="2:7" ht="15" customHeight="1">
      <c r="B25" s="52" t="s">
        <v>163</v>
      </c>
      <c r="D25" s="96">
        <f t="shared" si="2"/>
        <v>2</v>
      </c>
      <c r="E25" s="30" t="s">
        <v>145</v>
      </c>
      <c r="F25" s="6"/>
      <c r="G25" s="266"/>
    </row>
    <row r="26" spans="2:7" ht="15" customHeight="1">
      <c r="B26" s="52" t="s">
        <v>259</v>
      </c>
      <c r="D26" s="96">
        <f t="shared" si="2"/>
        <v>2</v>
      </c>
      <c r="E26" s="30" t="s">
        <v>145</v>
      </c>
      <c r="F26" s="6"/>
      <c r="G26" s="266"/>
    </row>
    <row r="27" spans="2:7" ht="15" customHeight="1">
      <c r="B27" s="52" t="s">
        <v>260</v>
      </c>
      <c r="D27" s="96">
        <f t="shared" si="2"/>
        <v>2</v>
      </c>
      <c r="E27" s="30" t="s">
        <v>145</v>
      </c>
      <c r="F27" s="6"/>
      <c r="G27" s="266"/>
    </row>
    <row r="28" spans="2:7" ht="15" customHeight="1">
      <c r="B28" s="52" t="s">
        <v>164</v>
      </c>
      <c r="D28" s="96">
        <f t="shared" si="2"/>
        <v>2</v>
      </c>
      <c r="E28" s="30" t="s">
        <v>145</v>
      </c>
      <c r="F28" s="6"/>
      <c r="G28" s="266"/>
    </row>
    <row r="29" spans="2:7" ht="15" customHeight="1">
      <c r="B29" s="95" t="s">
        <v>165</v>
      </c>
      <c r="D29" s="37"/>
      <c r="E29" s="23"/>
      <c r="G29" s="266"/>
    </row>
    <row r="30" spans="2:7" ht="15" customHeight="1">
      <c r="B30" s="1" t="s">
        <v>166</v>
      </c>
      <c r="D30" s="99">
        <f>SUM(D31:D35)/(5*4)</f>
        <v>0.5</v>
      </c>
      <c r="E30" s="48" t="str">
        <f>IF(D30&gt;80%,"Very High",IF(D30&lt;=20%,"Very Low",IF(D30&lt;=40%,"Low",IF(D30&lt;=60%,"Medium","High"))))</f>
        <v>Medium</v>
      </c>
      <c r="F30" s="6"/>
      <c r="G30" s="266"/>
    </row>
    <row r="31" spans="2:7" ht="15" customHeight="1">
      <c r="B31" s="52" t="s">
        <v>167</v>
      </c>
      <c r="D31" s="96">
        <f t="shared" ref="D31:D35" si="3">IF(E31="Strongly disagree",0,IF(E31="disagree",1,IF(E31="unclear",2,IF(E31="agree",3,4))))</f>
        <v>1</v>
      </c>
      <c r="E31" s="30" t="s">
        <v>153</v>
      </c>
      <c r="F31" s="6"/>
      <c r="G31" s="266"/>
    </row>
    <row r="32" spans="2:7" ht="15" customHeight="1">
      <c r="B32" s="52" t="s">
        <v>261</v>
      </c>
      <c r="D32" s="96">
        <f t="shared" si="3"/>
        <v>4</v>
      </c>
      <c r="E32" s="30" t="s">
        <v>155</v>
      </c>
      <c r="F32" s="6"/>
      <c r="G32" s="266"/>
    </row>
    <row r="33" spans="2:7" ht="15" customHeight="1">
      <c r="B33" s="52" t="s">
        <v>262</v>
      </c>
      <c r="D33" s="96">
        <f t="shared" si="3"/>
        <v>1</v>
      </c>
      <c r="E33" s="30" t="s">
        <v>153</v>
      </c>
      <c r="F33" s="6"/>
      <c r="G33" s="266"/>
    </row>
    <row r="34" spans="2:7" ht="15" customHeight="1">
      <c r="B34" s="52" t="s">
        <v>263</v>
      </c>
      <c r="D34" s="96">
        <f t="shared" si="3"/>
        <v>2</v>
      </c>
      <c r="E34" s="30" t="s">
        <v>145</v>
      </c>
      <c r="F34" s="6"/>
      <c r="G34" s="266"/>
    </row>
    <row r="35" spans="2:7" ht="15" customHeight="1">
      <c r="B35" s="52" t="s">
        <v>279</v>
      </c>
      <c r="D35" s="96">
        <f t="shared" si="3"/>
        <v>2</v>
      </c>
      <c r="E35" s="30" t="s">
        <v>145</v>
      </c>
      <c r="G35" s="266"/>
    </row>
    <row r="36" spans="2:7" ht="15" customHeight="1">
      <c r="B36" s="1" t="s">
        <v>169</v>
      </c>
      <c r="D36" s="99">
        <f>SUM(D37:D41)/(5*4)</f>
        <v>0.35</v>
      </c>
      <c r="E36" s="48" t="str">
        <f>IF(D36&gt;80%,"Very High",IF(D36&lt;=20%,"Very Low",IF(D36&lt;=40%,"Low",IF(D36&lt;=60%,"Medium","High"))))</f>
        <v>Low</v>
      </c>
      <c r="F36" s="6"/>
      <c r="G36" s="266"/>
    </row>
    <row r="37" spans="2:7" ht="15" customHeight="1">
      <c r="B37" s="52" t="s">
        <v>170</v>
      </c>
      <c r="D37" s="96">
        <f t="shared" ref="D37:D41" si="4">IF(E37="Strongly disagree",0,IF(E37="disagree",1,IF(E37="unclear",2,IF(E37="agree",3,4))))</f>
        <v>2</v>
      </c>
      <c r="E37" s="30" t="s">
        <v>145</v>
      </c>
      <c r="F37" s="6"/>
      <c r="G37" s="266"/>
    </row>
    <row r="38" spans="2:7" ht="15" customHeight="1">
      <c r="B38" s="52" t="s">
        <v>264</v>
      </c>
      <c r="D38" s="96">
        <f t="shared" si="4"/>
        <v>2</v>
      </c>
      <c r="E38" s="30" t="s">
        <v>145</v>
      </c>
      <c r="F38" s="6"/>
      <c r="G38" s="266"/>
    </row>
    <row r="39" spans="2:7" ht="15" customHeight="1">
      <c r="B39" s="52" t="s">
        <v>265</v>
      </c>
      <c r="D39" s="96">
        <f t="shared" si="4"/>
        <v>1</v>
      </c>
      <c r="E39" s="30" t="s">
        <v>153</v>
      </c>
      <c r="F39" s="6"/>
      <c r="G39" s="266"/>
    </row>
    <row r="40" spans="2:7" ht="15" customHeight="1">
      <c r="B40" s="52" t="s">
        <v>266</v>
      </c>
      <c r="D40" s="96">
        <f t="shared" si="4"/>
        <v>2</v>
      </c>
      <c r="E40" s="30" t="s">
        <v>145</v>
      </c>
      <c r="F40" s="6"/>
      <c r="G40" s="266"/>
    </row>
    <row r="41" spans="2:7" ht="15" customHeight="1">
      <c r="B41" s="52" t="s">
        <v>267</v>
      </c>
      <c r="D41" s="96">
        <f t="shared" si="4"/>
        <v>0</v>
      </c>
      <c r="E41" s="30" t="s">
        <v>168</v>
      </c>
      <c r="G41" s="266"/>
    </row>
    <row r="42" spans="2:7" ht="15" customHeight="1">
      <c r="B42" s="1" t="s">
        <v>171</v>
      </c>
      <c r="D42" s="99">
        <f>SUM(D43:D48)/(6*4)</f>
        <v>0.5</v>
      </c>
      <c r="E42" s="48" t="str">
        <f>IF(D42&gt;80%,"Very High",IF(D42&lt;=20%,"Very Low",IF(D42&lt;=40%,"Low",IF(D42&lt;=60%,"Medium","High"))))</f>
        <v>Medium</v>
      </c>
      <c r="F42" s="6"/>
      <c r="G42" s="266"/>
    </row>
    <row r="43" spans="2:7" ht="15" customHeight="1">
      <c r="B43" s="52" t="s">
        <v>172</v>
      </c>
      <c r="D43" s="96">
        <f t="shared" ref="D43:D48" si="5">IF(E43="Strongly disagree",0,IF(E43="disagree",1,IF(E43="unclear",2,IF(E43="agree",3,4))))</f>
        <v>0</v>
      </c>
      <c r="E43" s="30" t="s">
        <v>168</v>
      </c>
      <c r="F43" s="6"/>
      <c r="G43" s="266"/>
    </row>
    <row r="44" spans="2:7" ht="15" customHeight="1">
      <c r="B44" s="52" t="s">
        <v>173</v>
      </c>
      <c r="D44" s="96">
        <f t="shared" si="5"/>
        <v>4</v>
      </c>
      <c r="E44" s="30" t="s">
        <v>155</v>
      </c>
      <c r="F44" s="6"/>
      <c r="G44" s="266"/>
    </row>
    <row r="45" spans="2:7" ht="15" customHeight="1">
      <c r="B45" s="52" t="s">
        <v>174</v>
      </c>
      <c r="D45" s="96">
        <f t="shared" si="5"/>
        <v>4</v>
      </c>
      <c r="E45" s="30" t="s">
        <v>155</v>
      </c>
      <c r="F45" s="6"/>
      <c r="G45" s="266"/>
    </row>
    <row r="46" spans="2:7" ht="15" customHeight="1">
      <c r="B46" s="52" t="s">
        <v>175</v>
      </c>
      <c r="D46" s="96">
        <f t="shared" si="5"/>
        <v>0</v>
      </c>
      <c r="E46" s="30" t="s">
        <v>168</v>
      </c>
      <c r="F46" s="6"/>
      <c r="G46" s="266"/>
    </row>
    <row r="47" spans="2:7" ht="15" customHeight="1">
      <c r="B47" s="52" t="s">
        <v>176</v>
      </c>
      <c r="D47" s="96">
        <f t="shared" si="5"/>
        <v>0</v>
      </c>
      <c r="E47" s="30" t="s">
        <v>168</v>
      </c>
      <c r="F47" s="6"/>
      <c r="G47" s="266"/>
    </row>
    <row r="48" spans="2:7" ht="15" customHeight="1">
      <c r="B48" s="52" t="s">
        <v>202</v>
      </c>
      <c r="D48" s="96">
        <f t="shared" si="5"/>
        <v>4</v>
      </c>
      <c r="E48" s="30" t="s">
        <v>155</v>
      </c>
      <c r="F48" s="6"/>
      <c r="G48" s="266"/>
    </row>
    <row r="49" spans="2:8" ht="15" customHeight="1">
      <c r="B49" s="1" t="s">
        <v>177</v>
      </c>
      <c r="D49" s="99">
        <f>SUM(D50:D54)/(5*4)</f>
        <v>0.41564625850340137</v>
      </c>
      <c r="E49" s="48" t="str">
        <f>IF(D49&gt;80%,"Very High",IF(D49&lt;=20%,"Very Low",IF(D49&lt;=40%,"Low",IF(D49&lt;=60%,"Medium","High"))))</f>
        <v>Medium</v>
      </c>
      <c r="F49" s="6"/>
      <c r="G49" s="266"/>
    </row>
    <row r="50" spans="2:8" ht="15" customHeight="1">
      <c r="B50" s="52" t="s">
        <v>178</v>
      </c>
      <c r="D50" s="96">
        <f t="shared" ref="D50:D52" si="6">IF(E50="Strongly disagree",0,IF(E50="disagree",1,IF(E50="unclear",2,IF(E50="agree",3,4))))</f>
        <v>0</v>
      </c>
      <c r="E50" s="30" t="s">
        <v>168</v>
      </c>
      <c r="G50" s="266"/>
    </row>
    <row r="51" spans="2:8" ht="15" customHeight="1">
      <c r="B51" s="52" t="s">
        <v>179</v>
      </c>
      <c r="D51" s="96">
        <f t="shared" si="6"/>
        <v>0</v>
      </c>
      <c r="E51" s="30" t="s">
        <v>168</v>
      </c>
      <c r="F51" s="6"/>
      <c r="G51" s="266"/>
    </row>
    <row r="52" spans="2:8" ht="15" customHeight="1">
      <c r="B52" s="52" t="s">
        <v>268</v>
      </c>
      <c r="D52" s="96">
        <f t="shared" si="6"/>
        <v>2</v>
      </c>
      <c r="E52" s="30" t="s">
        <v>145</v>
      </c>
      <c r="G52" s="266"/>
    </row>
    <row r="53" spans="2:8" ht="15" customHeight="1">
      <c r="B53" s="52" t="s">
        <v>269</v>
      </c>
      <c r="D53" s="96">
        <f>IF(E53="Strongly disagree",0,IF(E53="disagree",1,IF(E53="unclear",2,IF(E53="agree",3,4))))</f>
        <v>4</v>
      </c>
      <c r="E53" s="30" t="s">
        <v>155</v>
      </c>
      <c r="F53" s="52"/>
      <c r="G53" s="266"/>
      <c r="H53" s="52"/>
    </row>
    <row r="54" spans="2:8" ht="15" customHeight="1">
      <c r="B54" s="52" t="s">
        <v>270</v>
      </c>
      <c r="D54" s="100">
        <f t="array" ref="D54">(1-INDEX(B68:E77,MATCH(E54,B68:B77,0),4))*4</f>
        <v>2.3129251700680271</v>
      </c>
      <c r="E54" s="30" t="s">
        <v>335</v>
      </c>
      <c r="F54" s="52"/>
      <c r="G54" s="266"/>
      <c r="H54" s="52"/>
    </row>
    <row r="55" spans="2:8" ht="15" customHeight="1">
      <c r="B55" s="1" t="s">
        <v>180</v>
      </c>
      <c r="D55" s="101">
        <f>SUM(D56:D61)/(6*4)</f>
        <v>0.91666666666666663</v>
      </c>
      <c r="E55" s="48" t="str">
        <f>IF(D55&gt;80%,"Very High",IF(D55&lt;=20%,"Very Low",IF(D55&lt;=40%,"Low",IF(D55&lt;=60%,"Medium","High"))))</f>
        <v>Very High</v>
      </c>
      <c r="F55" s="52"/>
      <c r="G55" s="266"/>
      <c r="H55" s="52"/>
    </row>
    <row r="56" spans="2:8" ht="15" customHeight="1">
      <c r="B56" s="52" t="s">
        <v>181</v>
      </c>
      <c r="D56" s="96">
        <f t="shared" ref="D56:D60" si="7">IF(E56="Strongly disagree",0,IF(E56="disagree",1,IF(E56="unclear",2,IF(E56="agree",3,4))))</f>
        <v>3</v>
      </c>
      <c r="E56" s="30" t="s">
        <v>146</v>
      </c>
      <c r="F56" s="52"/>
      <c r="G56" s="266"/>
      <c r="H56" s="52"/>
    </row>
    <row r="57" spans="2:8" ht="15" customHeight="1">
      <c r="B57" s="52" t="s">
        <v>182</v>
      </c>
      <c r="D57" s="96">
        <f t="shared" si="7"/>
        <v>4</v>
      </c>
      <c r="E57" s="30" t="s">
        <v>155</v>
      </c>
      <c r="F57" s="52"/>
      <c r="G57" s="266"/>
      <c r="H57" s="52"/>
    </row>
    <row r="58" spans="2:8" ht="15" customHeight="1">
      <c r="B58" s="52" t="s">
        <v>203</v>
      </c>
      <c r="D58" s="96">
        <f t="shared" si="7"/>
        <v>4</v>
      </c>
      <c r="E58" s="30" t="s">
        <v>155</v>
      </c>
      <c r="F58" s="52"/>
      <c r="G58" s="266"/>
      <c r="H58" s="52"/>
    </row>
    <row r="59" spans="2:8" ht="15" customHeight="1">
      <c r="B59" s="52" t="s">
        <v>204</v>
      </c>
      <c r="D59" s="96">
        <f t="shared" si="7"/>
        <v>4</v>
      </c>
      <c r="E59" s="30" t="s">
        <v>155</v>
      </c>
      <c r="F59" s="52"/>
      <c r="G59" s="266"/>
      <c r="H59" s="52"/>
    </row>
    <row r="60" spans="2:8" ht="15" customHeight="1">
      <c r="B60" s="52" t="s">
        <v>205</v>
      </c>
      <c r="D60" s="96">
        <f t="shared" si="7"/>
        <v>4</v>
      </c>
      <c r="E60" s="30" t="s">
        <v>155</v>
      </c>
      <c r="F60" s="52"/>
      <c r="G60" s="266"/>
      <c r="H60" s="52"/>
    </row>
    <row r="61" spans="2:8" ht="15" customHeight="1">
      <c r="B61" s="52" t="s">
        <v>206</v>
      </c>
      <c r="D61" s="96">
        <f>IF(E61="Strongly disagree",0,IF(E61="disagree",1,IF(E61="non-perishable",2,IF(E61="agree",3,4))))</f>
        <v>3</v>
      </c>
      <c r="E61" s="30" t="s">
        <v>146</v>
      </c>
      <c r="F61" s="52"/>
      <c r="G61" s="266"/>
      <c r="H61" s="52"/>
    </row>
    <row r="62" spans="2:8" ht="15" customHeight="1">
      <c r="B62" s="139" t="s">
        <v>183</v>
      </c>
      <c r="D62" s="120">
        <f>1-AVERAGE(D30,D36,D42,D49,D55)</f>
        <v>0.46353741496598633</v>
      </c>
      <c r="E62" s="48" t="str">
        <f>IF(D62&gt;80%,"Very Low",IF(D62&lt;=20%,"Very High",IF(D62&lt;=40%,"High",IF(D62&lt;=60%,"Medium","Low"))))</f>
        <v>Medium</v>
      </c>
      <c r="F62" s="52"/>
      <c r="G62" s="266"/>
      <c r="H62" s="52"/>
    </row>
    <row r="63" spans="2:8" ht="15" customHeight="1">
      <c r="D63" s="6"/>
      <c r="G63" s="266"/>
    </row>
    <row r="64" spans="2:8" ht="15" customHeight="1">
      <c r="B64" s="93" t="s">
        <v>184</v>
      </c>
      <c r="D64" s="90">
        <f>E64*4</f>
        <v>1.7635374149659864</v>
      </c>
      <c r="E64" s="119">
        <f>AVERAGE(AVERAGE(D12:D16)/4,AVERAGE(D18:D22)/4,AVERAGE(D24:D28)/4,D62)</f>
        <v>0.44088435374149659</v>
      </c>
      <c r="G64" s="266"/>
    </row>
    <row r="65" spans="2:7" ht="15" customHeight="1">
      <c r="G65" s="267"/>
    </row>
    <row r="66" spans="2:7" ht="15" customHeight="1">
      <c r="B66" s="53" t="s">
        <v>185</v>
      </c>
      <c r="C66" s="7"/>
      <c r="D66" s="7"/>
      <c r="E66" s="54"/>
    </row>
    <row r="67" spans="2:7" ht="15" customHeight="1">
      <c r="B67" s="102" t="s">
        <v>186</v>
      </c>
      <c r="C67" s="103"/>
      <c r="D67" s="103"/>
      <c r="E67" s="104"/>
    </row>
    <row r="68" spans="2:7" ht="15" customHeight="1">
      <c r="B68" s="105" t="s">
        <v>187</v>
      </c>
      <c r="C68" s="103"/>
      <c r="D68" s="103">
        <v>1</v>
      </c>
      <c r="E68" s="106">
        <f t="shared" ref="E68:E76" si="8">D68/MAX($D$68:$D$77)</f>
        <v>3.4013605442176874E-2</v>
      </c>
    </row>
    <row r="69" spans="2:7" ht="15" customHeight="1">
      <c r="B69" s="105" t="str">
        <f t="shared" ref="B69:B77" si="9">C69&amp;", "&amp;D69&amp;"y"</f>
        <v>Information Technology Like, 6.6y</v>
      </c>
      <c r="C69" s="103" t="s">
        <v>188</v>
      </c>
      <c r="D69" s="103">
        <v>6.6</v>
      </c>
      <c r="E69" s="106">
        <f t="shared" si="8"/>
        <v>0.22448979591836735</v>
      </c>
    </row>
    <row r="70" spans="2:7" ht="15" customHeight="1">
      <c r="B70" s="105" t="str">
        <f t="shared" si="9"/>
        <v>Healthcare, 11.4y</v>
      </c>
      <c r="C70" s="103" t="s">
        <v>189</v>
      </c>
      <c r="D70" s="103">
        <v>11.4</v>
      </c>
      <c r="E70" s="106">
        <f t="shared" si="8"/>
        <v>0.38775510204081637</v>
      </c>
    </row>
    <row r="71" spans="2:7" ht="15" customHeight="1">
      <c r="B71" s="105" t="str">
        <f t="shared" si="9"/>
        <v>Consumer Discretionary, 12.4y</v>
      </c>
      <c r="C71" s="103" t="s">
        <v>190</v>
      </c>
      <c r="D71" s="103">
        <v>12.4</v>
      </c>
      <c r="E71" s="106">
        <f t="shared" si="8"/>
        <v>0.42176870748299322</v>
      </c>
    </row>
    <row r="72" spans="2:7" ht="15" customHeight="1">
      <c r="B72" s="105" t="str">
        <f t="shared" si="9"/>
        <v>Consumer Staples, 15.1y</v>
      </c>
      <c r="C72" s="103" t="s">
        <v>191</v>
      </c>
      <c r="D72" s="103">
        <v>15.1</v>
      </c>
      <c r="E72" s="106">
        <f t="shared" si="8"/>
        <v>0.51360544217687076</v>
      </c>
    </row>
    <row r="73" spans="2:7" ht="15" customHeight="1">
      <c r="B73" s="105" t="str">
        <f t="shared" si="9"/>
        <v>Industrials, 15.4y</v>
      </c>
      <c r="C73" s="103" t="s">
        <v>192</v>
      </c>
      <c r="D73" s="103">
        <v>15.4</v>
      </c>
      <c r="E73" s="106">
        <f t="shared" si="8"/>
        <v>0.52380952380952384</v>
      </c>
    </row>
    <row r="74" spans="2:7" ht="15" customHeight="1">
      <c r="B74" s="105" t="str">
        <f t="shared" si="9"/>
        <v>Telecommunication Services, 16.1y</v>
      </c>
      <c r="C74" s="103" t="s">
        <v>193</v>
      </c>
      <c r="D74" s="103">
        <v>16.100000000000001</v>
      </c>
      <c r="E74" s="106">
        <f t="shared" si="8"/>
        <v>0.54761904761904767</v>
      </c>
    </row>
    <row r="75" spans="2:7" ht="15" customHeight="1">
      <c r="B75" s="105" t="str">
        <f t="shared" si="9"/>
        <v>Energy, 17.6y</v>
      </c>
      <c r="C75" s="103" t="s">
        <v>194</v>
      </c>
      <c r="D75" s="103">
        <v>17.600000000000001</v>
      </c>
      <c r="E75" s="106">
        <f t="shared" si="8"/>
        <v>0.59863945578231303</v>
      </c>
    </row>
    <row r="76" spans="2:7" ht="15" customHeight="1">
      <c r="B76" s="105" t="str">
        <f t="shared" si="9"/>
        <v>Materials, 18.6y</v>
      </c>
      <c r="C76" s="103" t="s">
        <v>195</v>
      </c>
      <c r="D76" s="103">
        <v>18.600000000000001</v>
      </c>
      <c r="E76" s="106">
        <f t="shared" si="8"/>
        <v>0.63265306122448983</v>
      </c>
    </row>
    <row r="77" spans="2:7" ht="15" customHeight="1">
      <c r="B77" s="107" t="str">
        <f t="shared" si="9"/>
        <v>Utilities, 29.4y</v>
      </c>
      <c r="C77" s="108" t="s">
        <v>196</v>
      </c>
      <c r="D77" s="108">
        <v>29.4</v>
      </c>
      <c r="E77" s="109">
        <f>D77/MAX($D$69:$D$77)</f>
        <v>1</v>
      </c>
    </row>
  </sheetData>
  <dataConsolidate/>
  <phoneticPr fontId="31" type="noConversion"/>
  <dataValidations count="6">
    <dataValidation type="list" allowBlank="1" sqref="E30 E36 E42 E49 E55" xr:uid="{00000000-0002-0000-0400-000003000000}">
      <formula1>"Very High,High,Medium,Low,Very Low"</formula1>
    </dataValidation>
    <dataValidation type="list" allowBlank="1" sqref="E56:E60 E19:E22 E24:E28 E12:E16 E43:E48 E3:E8 E31:E35 E37:E41 E50:E53" xr:uid="{00000000-0002-0000-0400-000005000000}">
      <formula1>"Strongly agree,agree,unclear,disagree,Strongly disagree"</formula1>
    </dataValidation>
    <dataValidation type="list" allowBlank="1" sqref="E61" xr:uid="{00000000-0002-0000-0400-000009000000}">
      <formula1>"Strongly agree,agree,non-perishable,disagree,Strongly disagree"</formula1>
    </dataValidation>
    <dataValidation allowBlank="1" sqref="E7" xr:uid="{FBCCA791-86B6-4660-95B3-845402529B68}"/>
    <dataValidation type="list" allowBlank="1" showInputMessage="1" showErrorMessage="1" sqref="E54" xr:uid="{B3C242EB-7F6A-4B7F-83D0-5CE118336997}">
      <formula1>B68:B77</formula1>
    </dataValidation>
    <dataValidation type="list" allowBlank="1" sqref="E54" xr:uid="{169E40E7-6BB6-45A2-B725-216376F63A8D}">
      <formula1>$B$68:$B$77</formula1>
    </dataValidation>
  </dataValidation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Dashboard</vt:lpstr>
      <vt:lpstr>Data</vt:lpstr>
      <vt:lpstr>Asset_Model</vt:lpstr>
      <vt:lpstr>Operation</vt:lpstr>
      <vt:lpstr>Val Models</vt:lpstr>
      <vt:lpstr>Qualitative 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Jerry.chen</cp:lastModifiedBy>
  <cp:revision/>
  <cp:lastPrinted>2023-02-17T02:44:16Z</cp:lastPrinted>
  <dcterms:created xsi:type="dcterms:W3CDTF">2022-08-10T03:52:42Z</dcterms:created>
  <dcterms:modified xsi:type="dcterms:W3CDTF">2023-08-17T09:54:42Z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583038b8</vt:lpwstr>
  </property>
</Properties>
</file>