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1EB8EA46-4126-4CDB-83B1-655BB3771B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51" i="1" l="1"/>
  <c r="C35" i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6" i="4"/>
  <c r="D16" i="4" s="1"/>
  <c r="C15" i="4"/>
  <c r="D15" i="4" s="1"/>
  <c r="D59" i="3"/>
  <c r="C44" i="3"/>
  <c r="C45" i="3" s="1"/>
  <c r="I6" i="3"/>
  <c r="E44" i="3"/>
  <c r="I44" i="3" s="1"/>
  <c r="J44" i="3" s="1"/>
  <c r="E46" i="3"/>
  <c r="D46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D62" i="5" l="1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6" i="1" s="1"/>
  <c r="E45" i="1" s="1"/>
  <c r="E47" i="1" l="1"/>
  <c r="D46" i="1" s="1"/>
  <c r="E49" i="1" s="1"/>
  <c r="E14" i="1"/>
  <c r="B17" i="1" s="1"/>
  <c r="E27" i="4"/>
  <c r="F27" i="4"/>
  <c r="F31" i="4"/>
  <c r="E31" i="4"/>
  <c r="C32" i="4"/>
  <c r="E46" i="1" s="1"/>
  <c r="E50" i="1" s="1"/>
  <c r="D18" i="1"/>
  <c r="D16" i="1"/>
  <c r="F45" i="1"/>
  <c r="E51" i="1" l="1"/>
  <c r="F46" i="1"/>
  <c r="F50" i="1" s="1"/>
  <c r="F32" i="4"/>
  <c r="E32" i="4"/>
  <c r="I35" i="1"/>
  <c r="F47" i="1"/>
  <c r="H17" i="1"/>
  <c r="D17" i="1"/>
  <c r="J17" i="1"/>
  <c r="D47" i="1" l="1"/>
  <c r="F49" i="1" s="1"/>
  <c r="F51" i="1" s="1"/>
</calcChain>
</file>

<file path=xl/sharedStrings.xml><?xml version="1.0" encoding="utf-8"?>
<sst xmlns="http://schemas.openxmlformats.org/spreadsheetml/2006/main" count="419" uniqueCount="349">
  <si>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</si>
  <si>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</si>
  <si>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</si>
  <si>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</si>
  <si>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</si>
  <si>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</si>
  <si>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</si>
  <si>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</si>
  <si>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</si>
  <si>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</si>
  <si>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</si>
  <si>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</si>
  <si>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</si>
  <si>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</si>
  <si>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</si>
  <si>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</si>
  <si>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</si>
  <si>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</si>
  <si>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</si>
  <si>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</si>
  <si>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</si>
  <si>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</si>
  <si>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</si>
  <si>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</si>
  <si>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</si>
  <si>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</si>
  <si>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</si>
  <si>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</si>
  <si>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</si>
  <si>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</si>
  <si>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</si>
  <si>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</si>
  <si>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</si>
  <si>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</si>
  <si>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</si>
  <si>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</si>
  <si>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</si>
  <si>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</si>
  <si>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</si>
  <si>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</si>
  <si>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</si>
  <si>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</si>
  <si>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</si>
  <si>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</si>
  <si>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</si>
  <si>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</si>
  <si>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</si>
  <si>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</si>
  <si>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</si>
  <si>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</si>
  <si>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</si>
  <si>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</si>
  <si>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</si>
  <si>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</si>
  <si>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</si>
  <si>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</si>
  <si>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</si>
  <si>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</si>
  <si>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</si>
  <si>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</si>
  <si>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</si>
  <si>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</si>
  <si>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</si>
  <si>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</si>
  <si>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</si>
  <si>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</si>
  <si>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</si>
  <si>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</si>
  <si>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</si>
  <si>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</si>
  <si>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</si>
  <si>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</si>
  <si>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</si>
  <si>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</si>
  <si>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</si>
  <si>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</si>
  <si>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</si>
  <si>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</si>
  <si>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</si>
  <si>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</si>
  <si>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</si>
  <si>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</si>
  <si>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</si>
  <si>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</si>
  <si>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</si>
  <si>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</si>
  <si>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</si>
  <si>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</si>
  <si>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</si>
  <si>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</si>
  <si>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</si>
  <si>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</si>
  <si>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</si>
  <si>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</si>
  <si>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</si>
  <si>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</si>
  <si>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</si>
  <si>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</si>
  <si>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</si>
  <si>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</si>
  <si>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</si>
  <si>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</si>
  <si>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</si>
  <si>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</si>
  <si>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</si>
  <si>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</si>
  <si>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</si>
  <si>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</si>
  <si>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</si>
  <si>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</si>
  <si>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</si>
  <si>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</si>
  <si>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</si>
  <si>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</si>
  <si>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</si>
  <si>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</si>
  <si>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</si>
  <si>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</si>
  <si>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</si>
  <si>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</si>
  <si>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</si>
  <si>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</si>
  <si>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</si>
  <si>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</si>
  <si>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</si>
  <si>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</si>
  <si>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</si>
  <si>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</si>
  <si>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</si>
  <si>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</si>
  <si>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</si>
  <si>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</si>
  <si>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</si>
  <si>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</si>
  <si>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</si>
  <si>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</si>
  <si>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</si>
  <si>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</si>
  <si>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</si>
  <si>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</si>
  <si>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</si>
  <si>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</si>
  <si>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</si>
  <si>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</si>
  <si>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</si>
  <si>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</si>
  <si>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</si>
  <si>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</si>
  <si>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</si>
  <si>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</si>
  <si>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</si>
  <si>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</si>
  <si>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</si>
  <si>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</si>
  <si>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</si>
  <si>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</si>
  <si>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</si>
  <si>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</si>
  <si>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</si>
  <si>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</si>
  <si>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</si>
  <si>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</si>
  <si>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</si>
  <si>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</si>
  <si>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</si>
  <si>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</si>
  <si>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</si>
  <si>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</si>
  <si>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</si>
  <si>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</si>
  <si>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</si>
  <si>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</si>
  <si>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</si>
  <si>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</si>
  <si>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</si>
  <si>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</si>
  <si>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</si>
  <si>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</si>
  <si>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</si>
  <si>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</si>
  <si>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</si>
  <si>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</si>
  <si>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</si>
  <si>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</si>
  <si>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</si>
  <si>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</si>
  <si>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</si>
  <si>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</si>
  <si>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</si>
  <si>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</si>
  <si>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</si>
  <si>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</si>
  <si>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</si>
  <si>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</si>
  <si>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</si>
  <si>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</si>
  <si>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</si>
  <si>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</si>
  <si>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</si>
  <si>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</si>
  <si>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</si>
  <si>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</si>
  <si>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</si>
  <si>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</si>
  <si>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</si>
  <si>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</si>
  <si>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</si>
  <si>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</si>
  <si>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</si>
  <si>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</si>
  <si>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</si>
  <si>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</si>
  <si>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</si>
  <si>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</si>
  <si>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</si>
  <si>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</si>
  <si>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</si>
  <si>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</si>
  <si>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</si>
  <si>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</si>
  <si>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</si>
  <si>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</si>
  <si>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</si>
  <si>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</si>
  <si>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</si>
  <si>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</si>
  <si>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</si>
  <si>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</si>
  <si>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</si>
  <si>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</si>
  <si>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</si>
  <si>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</si>
  <si>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</si>
  <si>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</si>
  <si>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</si>
  <si>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</si>
  <si>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</si>
  <si>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</si>
  <si>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</si>
  <si>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</si>
  <si>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</si>
  <si>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</si>
  <si>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</si>
  <si>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</si>
  <si>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</si>
  <si>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</si>
  <si>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</si>
  <si>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</si>
  <si>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</si>
  <si>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</si>
  <si>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</si>
  <si>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</si>
  <si>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</si>
  <si>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</si>
  <si>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</si>
  <si>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</si>
  <si>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</si>
  <si>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</si>
  <si>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</si>
  <si>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</si>
  <si>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</si>
  <si>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</si>
  <si>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</si>
  <si>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</si>
  <si>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</si>
  <si>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</si>
  <si>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</si>
  <si>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</si>
  <si>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</si>
  <si>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</si>
  <si>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</si>
  <si>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</si>
  <si>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</si>
  <si>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</si>
  <si>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</si>
  <si>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</si>
  <si>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</si>
  <si>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</si>
  <si>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</si>
  <si>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</si>
  <si>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</si>
  <si>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</si>
  <si>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</si>
  <si>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</si>
  <si>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</si>
  <si>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</si>
  <si>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</si>
  <si>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</si>
  <si>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</si>
  <si>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</si>
  <si>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</si>
  <si>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</si>
  <si>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</si>
  <si>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</si>
  <si>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</si>
  <si>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</si>
  <si>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</si>
  <si>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</si>
  <si>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</si>
  <si>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</si>
  <si>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</si>
  <si>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</si>
  <si>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</si>
  <si>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</si>
  <si>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</si>
  <si>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</si>
  <si>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</si>
  <si>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</si>
  <si>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</si>
  <si>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</si>
  <si>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</si>
  <si>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</si>
  <si>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</si>
  <si>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</si>
  <si>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</si>
  <si>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</si>
  <si>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a) High growth company with unproven product and No margin of saftey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</si>
  <si>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</si>
  <si>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</si>
  <si>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</si>
  <si>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</si>
  <si>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</si>
  <si>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</si>
  <si>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</si>
  <si>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</si>
  <si>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</si>
  <si>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</si>
  <si>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</si>
  <si>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</si>
  <si>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</si>
  <si>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</si>
  <si>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</si>
  <si>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</si>
  <si>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</si>
  <si>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</si>
  <si>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</si>
  <si>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</si>
  <si>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⇒ 1/2 Kelly %</t>
  </si>
  <si>
    <t>Expected Exit Price =</t>
  </si>
  <si>
    <t>Ex-post Cost per share =</t>
  </si>
  <si>
    <t>PB 0.523 at 20 percentile, and 0.610 at 50 percentile</t>
  </si>
  <si>
    <t>Ex-ante</t>
  </si>
  <si>
    <t>Ex-post</t>
  </si>
  <si>
    <t>4. The probability of a recession affecting the company</t>
  </si>
  <si>
    <t>Best Guess Market Exit Price</t>
  </si>
  <si>
    <t>Is the upside very attractive? (20%+ is attractive)</t>
  </si>
  <si>
    <t>A bottleneck in HK property market</t>
  </si>
  <si>
    <t>Asset heavy business</t>
  </si>
  <si>
    <t>Consumer Staples, 15.1y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</si>
</sst>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0.000000000000000000%"/>
    <numFmt numFmtId="186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5" fontId="18" fillId="0" borderId="0" xfId="0" applyNumberFormat="1" applyFont="1"/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27" fillId="0" borderId="0" xfId="0" applyFont="1"/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10" fontId="2" fillId="0" borderId="11" xfId="0" applyNumberFormat="1" applyFont="1" applyBorder="1" applyAlignment="1">
      <alignment horizontal="center"/>
    </xf>
    <xf numFmtId="4" fontId="1" fillId="11" borderId="2" xfId="0" applyNumberFormat="1" applyFont="1" applyFill="1" applyBorder="1" applyAlignment="1">
      <alignment horizontal="center"/>
    </xf>
    <xf numFmtId="186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4" zoomScaleNormal="100" workbookViewId="0">
      <selection activeCell="I16" sqref="I16:I1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9" t="s">
        <v>317</v>
      </c>
      <c r="D3" s="410"/>
      <c r="E3" s="15"/>
      <c r="G3" s="7" t="s">
        <v>2</v>
      </c>
      <c r="I3" s="419" t="s">
        <v>3</v>
      </c>
      <c r="J3" s="420"/>
    </row>
    <row r="4" spans="1:12" ht="15.75" customHeight="1">
      <c r="B4" s="5" t="s">
        <v>4</v>
      </c>
      <c r="C4" s="411" t="s">
        <v>318</v>
      </c>
      <c r="D4" s="412"/>
      <c r="E4" s="6"/>
      <c r="G4" s="5" t="s">
        <v>5</v>
      </c>
      <c r="I4" s="32">
        <v>9.56</v>
      </c>
      <c r="J4" s="33" t="s">
        <v>6</v>
      </c>
      <c r="K4" s="149"/>
    </row>
    <row r="5" spans="1:12" ht="15.75" customHeight="1">
      <c r="B5" s="5" t="s">
        <v>7</v>
      </c>
      <c r="C5" s="413">
        <v>44956</v>
      </c>
      <c r="D5" s="412"/>
      <c r="E5" s="120" t="str">
        <f ca="1">IF(C5+30&gt;=TODAY(),"Patience Premium","")</f>
        <v/>
      </c>
      <c r="G5" s="5" t="s">
        <v>8</v>
      </c>
      <c r="I5" s="384">
        <v>8171879936</v>
      </c>
      <c r="J5" s="385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421">
        <f>I4*I5/1000000</f>
        <v>78123.17218816001</v>
      </c>
      <c r="J6" s="422"/>
      <c r="K6" s="148"/>
    </row>
    <row r="7" spans="1:12" ht="15.75" customHeight="1">
      <c r="B7" s="136" t="s">
        <v>10</v>
      </c>
      <c r="C7" s="142">
        <f>(Data!C39*Exchange_Rate)/I4</f>
        <v>3.9088108105047009E-2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13.621234207395618</v>
      </c>
      <c r="J9" s="48">
        <f>IF(I9="NNI","NNI",1/I9)</f>
        <v>7.3414786411722679E-2</v>
      </c>
    </row>
    <row r="10" spans="1:12" ht="15.75" customHeight="1">
      <c r="B10" s="3" t="s">
        <v>256</v>
      </c>
      <c r="C10" s="279" t="s">
        <v>325</v>
      </c>
      <c r="D10" s="279">
        <v>3.1600000000000003E-2</v>
      </c>
      <c r="E10" s="5"/>
      <c r="G10" s="5" t="s">
        <v>14</v>
      </c>
      <c r="I10" s="135">
        <f>I4/(Data!C28*I12*Data!C4/Common_Shares)</f>
        <v>0.49373636722913061</v>
      </c>
      <c r="J10" s="127">
        <f>IF(Asset_Model!D60/'FCFF Model'!C4&lt;0,"Negative EV",Asset_Model!D60/'FCFF Model'!C4)</f>
        <v>3.0387294220193319</v>
      </c>
    </row>
    <row r="11" spans="1:12" ht="15.75" customHeight="1" thickBot="1">
      <c r="B11" s="288" t="s">
        <v>257</v>
      </c>
      <c r="C11" s="382">
        <f ca="1">C12-D10</f>
        <v>2.8399999999999995E-2</v>
      </c>
      <c r="D11" s="383"/>
      <c r="E11" s="13"/>
      <c r="G11" s="5" t="s">
        <v>15</v>
      </c>
      <c r="H11" s="6"/>
      <c r="I11" s="379" t="s">
        <v>6</v>
      </c>
      <c r="J11" s="380"/>
    </row>
    <row r="12" spans="1:12" ht="15.75" customHeight="1" thickTop="1">
      <c r="B12" s="289" t="s">
        <v>143</v>
      </c>
      <c r="C12" s="427">
        <f ca="1">IF(C10="CN",8%,6%)*IF($C$5+30&gt;=TODAY(),1.2,1)</f>
        <v>0.06</v>
      </c>
      <c r="D12" s="428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53" t="s">
        <v>333</v>
      </c>
      <c r="D14" s="239"/>
      <c r="E14" s="190">
        <f ca="1">'FCFF Model'!C27</f>
        <v>10.967019141422004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8" t="s">
        <v>21</v>
      </c>
      <c r="I15" s="88" t="s">
        <v>326</v>
      </c>
      <c r="J15" s="88" t="s">
        <v>20</v>
      </c>
    </row>
    <row r="16" spans="1:12" ht="15.75" customHeight="1">
      <c r="B16" s="128">
        <f>I4</f>
        <v>9.56</v>
      </c>
      <c r="C16" s="452"/>
      <c r="D16" s="156">
        <f ca="1">I36/B16-1</f>
        <v>0.20334953518862231</v>
      </c>
      <c r="E16" s="396" t="s">
        <v>23</v>
      </c>
      <c r="F16" s="423">
        <f>('FCFF Model'!G16)*Exchange_Rate</f>
        <v>5.902449981989065</v>
      </c>
      <c r="G16" s="396" t="s">
        <v>24</v>
      </c>
      <c r="H16" s="359">
        <f>B16-$F$16</f>
        <v>3.6575500180109355</v>
      </c>
      <c r="I16" s="391">
        <v>0.42</v>
      </c>
      <c r="J16" s="158">
        <f>I16/B16</f>
        <v>4.3933054393305436E-2</v>
      </c>
    </row>
    <row r="17" spans="1:10" ht="15.75" customHeight="1">
      <c r="B17" s="269">
        <f ca="1">E14/(1+C17)</f>
        <v>9.9700174012927292</v>
      </c>
      <c r="C17" s="453">
        <v>0.1</v>
      </c>
      <c r="D17" s="268">
        <f ca="1">I36/B17-1</f>
        <v>0.15386173297065664</v>
      </c>
      <c r="E17" s="397"/>
      <c r="F17" s="424"/>
      <c r="G17" s="397"/>
      <c r="H17" s="360">
        <f ca="1">B17-$F$16</f>
        <v>4.0675674193036642</v>
      </c>
      <c r="I17" s="392"/>
      <c r="J17" s="159">
        <f ca="1">I16/B17</f>
        <v>4.2126305611617294E-2</v>
      </c>
    </row>
    <row r="18" spans="1:10" ht="15.75" customHeight="1">
      <c r="B18" s="324">
        <f>C35</f>
        <v>9.1999999999999993</v>
      </c>
      <c r="C18" s="451"/>
      <c r="D18" s="157">
        <f ca="1">I36/B18-1</f>
        <v>0.2504371256960034</v>
      </c>
      <c r="E18" s="398"/>
      <c r="F18" s="425"/>
      <c r="G18" s="398"/>
      <c r="H18" s="361">
        <f>B18-$F$16</f>
        <v>3.2975500180109343</v>
      </c>
      <c r="I18" s="393"/>
      <c r="J18" s="160">
        <f>I16/B18</f>
        <v>4.5652173913043478E-2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6"/>
    </row>
    <row r="21" spans="1:10" ht="15.75" customHeight="1">
      <c r="A21" s="6"/>
      <c r="B21" s="24" t="s">
        <v>26</v>
      </c>
      <c r="C21" s="416" t="s">
        <v>320</v>
      </c>
      <c r="D21" s="417"/>
      <c r="E21" s="417"/>
      <c r="F21" s="417"/>
      <c r="G21" s="417"/>
      <c r="H21" s="417"/>
      <c r="I21" s="417"/>
      <c r="J21" s="418"/>
    </row>
    <row r="22" spans="1:10" ht="52.5" customHeight="1">
      <c r="A22" s="6"/>
      <c r="B22" s="24" t="s">
        <v>27</v>
      </c>
      <c r="C22" s="381" t="s">
        <v>321</v>
      </c>
      <c r="D22" s="365"/>
      <c r="E22" s="365"/>
      <c r="F22" s="365"/>
      <c r="G22" s="381" t="s">
        <v>323</v>
      </c>
      <c r="H22" s="381"/>
      <c r="I22" s="365"/>
      <c r="J22" s="365"/>
    </row>
    <row r="23" spans="1:10" ht="52.5" customHeight="1">
      <c r="A23" s="6"/>
      <c r="B23" s="25" t="s">
        <v>28</v>
      </c>
      <c r="C23" s="394" t="s">
        <v>322</v>
      </c>
      <c r="D23" s="395"/>
      <c r="E23" s="395"/>
      <c r="F23" s="395"/>
      <c r="G23" s="394" t="s">
        <v>324</v>
      </c>
      <c r="H23" s="394"/>
      <c r="I23" s="395"/>
      <c r="J23" s="395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39"/>
      <c r="I25" s="30"/>
      <c r="J25" s="323"/>
    </row>
    <row r="26" spans="1:10" ht="15.75" customHeight="1">
      <c r="B26" s="23" t="s">
        <v>31</v>
      </c>
      <c r="C26" s="414">
        <v>44970</v>
      </c>
      <c r="D26" s="415"/>
      <c r="E26" s="402" t="str">
        <f>IF(C26="","","Action_Planning")</f>
        <v>Action_Planning</v>
      </c>
      <c r="F26" s="403"/>
      <c r="G26" s="403"/>
      <c r="H26" s="404"/>
      <c r="I26" s="426" t="s">
        <v>32</v>
      </c>
      <c r="J26" s="426"/>
    </row>
    <row r="27" spans="1:10" ht="15.75" customHeight="1">
      <c r="B27" s="23" t="s">
        <v>33</v>
      </c>
      <c r="C27" s="390">
        <f>C31/D25</f>
        <v>0.14975757575757576</v>
      </c>
      <c r="D27" s="376"/>
      <c r="E27" s="389">
        <f>E31/D25</f>
        <v>0.1393939393939394</v>
      </c>
      <c r="F27" s="376"/>
      <c r="G27" s="400">
        <f>G31/D25</f>
        <v>0</v>
      </c>
      <c r="H27" s="401"/>
      <c r="I27" s="399">
        <f>C27+E27+G27</f>
        <v>0.28915151515151516</v>
      </c>
      <c r="J27" s="399"/>
    </row>
    <row r="28" spans="1:10" ht="15.75" customHeight="1">
      <c r="B28" s="23" t="s">
        <v>34</v>
      </c>
      <c r="C28" s="364">
        <v>10000</v>
      </c>
      <c r="D28" s="365"/>
      <c r="E28" s="364">
        <v>10000</v>
      </c>
      <c r="F28" s="365"/>
      <c r="G28" s="384"/>
      <c r="H28" s="385"/>
      <c r="I28" s="378">
        <f>C28+E28+G28</f>
        <v>20000</v>
      </c>
      <c r="J28" s="378"/>
    </row>
    <row r="29" spans="1:10" ht="15.75" customHeight="1">
      <c r="B29" s="23" t="s">
        <v>35</v>
      </c>
      <c r="C29" s="366">
        <v>9.8840000000000003</v>
      </c>
      <c r="D29" s="365"/>
      <c r="E29" s="366">
        <v>9.1999999999999993</v>
      </c>
      <c r="F29" s="365"/>
      <c r="G29" s="387">
        <v>8.8000000000000007</v>
      </c>
      <c r="H29" s="388"/>
      <c r="I29" s="386"/>
      <c r="J29" s="386"/>
    </row>
    <row r="30" spans="1:10" ht="15.75" customHeight="1">
      <c r="B30" s="23" t="s">
        <v>36</v>
      </c>
      <c r="C30" s="362">
        <f>C29*$I$5/1000000</f>
        <v>80770.861287423992</v>
      </c>
      <c r="D30" s="363"/>
      <c r="E30" s="362">
        <f>E29*$I$5/1000000</f>
        <v>75181.295411200001</v>
      </c>
      <c r="F30" s="363"/>
      <c r="G30" s="405">
        <f>G29*$I$5/1000000</f>
        <v>71912.543436799999</v>
      </c>
      <c r="H30" s="406"/>
      <c r="I30" s="377"/>
      <c r="J30" s="377"/>
    </row>
    <row r="31" spans="1:10" ht="15.75" customHeight="1">
      <c r="B31" s="2" t="s">
        <v>37</v>
      </c>
      <c r="C31" s="371">
        <f>C28*C29</f>
        <v>98840</v>
      </c>
      <c r="D31" s="372"/>
      <c r="E31" s="373">
        <f>E28*E29</f>
        <v>92000</v>
      </c>
      <c r="F31" s="374"/>
      <c r="G31" s="407">
        <f>G28*G29</f>
        <v>0</v>
      </c>
      <c r="H31" s="408"/>
      <c r="I31" s="373">
        <f>C31+E31+G31</f>
        <v>190840</v>
      </c>
      <c r="J31" s="373"/>
    </row>
    <row r="32" spans="1:10" ht="15.75" customHeight="1">
      <c r="B32" s="1" t="s">
        <v>38</v>
      </c>
      <c r="C32" s="367"/>
      <c r="D32" s="368"/>
      <c r="E32" s="375">
        <f>IF(C31=0,"-",(C31+E31)/(C28+E28))</f>
        <v>9.5419999999999998</v>
      </c>
      <c r="F32" s="376"/>
      <c r="G32" s="115"/>
      <c r="H32" s="115"/>
      <c r="I32" s="375">
        <f>IF(I31=0,"",I31/I28)</f>
        <v>9.5419999999999998</v>
      </c>
      <c r="J32" s="375"/>
    </row>
    <row r="33" spans="2:11" ht="15.75" customHeight="1">
      <c r="B33" s="1" t="s">
        <v>39</v>
      </c>
      <c r="C33" s="369"/>
      <c r="D33" s="370"/>
      <c r="E33" s="362">
        <f>IF(E32="-","-",E32*$I$5/1000000)</f>
        <v>77976.078349311996</v>
      </c>
      <c r="F33" s="363"/>
      <c r="G33" s="116"/>
      <c r="H33" s="116"/>
      <c r="I33" s="362">
        <f>IF(I32="","",I32*$I$5/1000000)</f>
        <v>77976.078349311996</v>
      </c>
      <c r="J33" s="362"/>
    </row>
    <row r="34" spans="2:11" ht="15.75" customHeight="1"/>
    <row r="35" spans="2:11" ht="15.75" customHeight="1">
      <c r="B35" s="143" t="s">
        <v>288</v>
      </c>
      <c r="C35" s="432">
        <f>E29</f>
        <v>9.1999999999999993</v>
      </c>
      <c r="D35" s="433"/>
      <c r="G35" s="429" t="s">
        <v>335</v>
      </c>
      <c r="H35" s="429"/>
      <c r="I35" s="430">
        <f ca="1">'FCFF Model'!C32</f>
        <v>9.9445545305961911</v>
      </c>
      <c r="J35" s="431"/>
    </row>
    <row r="36" spans="2:11" ht="15.75" customHeight="1">
      <c r="B36" s="143" t="s">
        <v>339</v>
      </c>
      <c r="C36" s="432">
        <f>E32</f>
        <v>9.5419999999999998</v>
      </c>
      <c r="D36" s="433"/>
      <c r="G36" s="434" t="s">
        <v>338</v>
      </c>
      <c r="H36" s="435"/>
      <c r="I36" s="430">
        <f ca="1">'FCFF Model'!C31</f>
        <v>11.504021556403231</v>
      </c>
      <c r="J36" s="431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5"/>
    </row>
    <row r="39" spans="2:11" ht="15.75" customHeight="1">
      <c r="B39" s="3" t="s">
        <v>301</v>
      </c>
      <c r="F39" s="208">
        <f>'Qualitative Analysis'!E8</f>
        <v>0.58000000000000007</v>
      </c>
      <c r="G39" s="333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30">
        <f>'Qualitative Analysis'!E64</f>
        <v>0.48680272108843536</v>
      </c>
      <c r="G41" s="333" t="s">
        <v>299</v>
      </c>
      <c r="H41" s="114"/>
      <c r="I41" s="114"/>
      <c r="J41" s="114"/>
    </row>
    <row r="42" spans="2:11" ht="15.75" customHeight="1">
      <c r="B42" s="3" t="s">
        <v>343</v>
      </c>
      <c r="F42" s="334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341</v>
      </c>
      <c r="F44" s="258" t="s">
        <v>342</v>
      </c>
    </row>
    <row r="45" spans="2:11" ht="15.75" customHeight="1">
      <c r="B45" s="3" t="s">
        <v>303</v>
      </c>
      <c r="E45" s="330">
        <f ca="1">I36/C29-1</f>
        <v>0.16390343549203057</v>
      </c>
      <c r="F45" s="334">
        <f ca="1">I36/C36-1</f>
        <v>0.20561953011981049</v>
      </c>
    </row>
    <row r="46" spans="2:11" ht="15.75" customHeight="1">
      <c r="B46" s="3" t="s">
        <v>304</v>
      </c>
      <c r="D46" s="327">
        <f ca="1">IF(E47="Strongly disagree",0,IF(E47="disagree",1,IF(E47="So-so",2,IF(E47="agree",3,4))))/4</f>
        <v>0.5</v>
      </c>
      <c r="E46" s="330">
        <f ca="1">'FCFF Model'!C32/C29-1</f>
        <v>6.1265206997360711E-3</v>
      </c>
      <c r="F46" s="334">
        <f ca="1">'FCFF Model'!C32/C36-1</f>
        <v>4.2187647306245246E-2</v>
      </c>
    </row>
    <row r="47" spans="2:11" ht="15.75" customHeight="1">
      <c r="B47" s="3" t="s">
        <v>345</v>
      </c>
      <c r="D47" s="327">
        <f ca="1">IF(F47="Strongly disagree",0,IF(F47="disagree",1,IF(F47="So-so",2,IF(F47="agree",3,4))))/4</f>
        <v>0.75</v>
      </c>
      <c r="E47" s="100" t="str">
        <f ca="1">IF(E45&lt;D10,"Strongly Disagree",IF(E45&lt;10%,"Disagree",IF(E45&gt;=30%,"Strongly Agree",IF(E45&gt;=20%,"Agree","So-so"))))</f>
        <v>So-so</v>
      </c>
      <c r="F47" s="100" t="str">
        <f ca="1">IF(F45&lt;D10,"Strongly Disagree",IF(F45&lt;10%,"Disagree",IF(F45&gt;=30%,"Strongly Agree",IF(F45&gt;=20%,"Agree","So-so"))))</f>
        <v>Agree</v>
      </c>
    </row>
    <row r="48" spans="2:11" ht="15.75" customHeight="1"/>
    <row r="49" spans="2:9" ht="15.75" customHeight="1">
      <c r="B49" s="3" t="s">
        <v>306</v>
      </c>
      <c r="E49" s="357">
        <f ca="1">IF(E45&lt;=0,0,AVERAGE(F39:F41,1-F42,D46))</f>
        <v>0.57336054421768712</v>
      </c>
      <c r="F49" s="330">
        <f ca="1">IF(F45&lt;=0,0,AVERAGE(F39:F41,1-F42,D47))</f>
        <v>0.62336054421768705</v>
      </c>
      <c r="G49" s="73"/>
    </row>
    <row r="50" spans="2:9" ht="15.75" customHeight="1">
      <c r="B50" s="3" t="s">
        <v>305</v>
      </c>
      <c r="D50" s="332"/>
      <c r="E50" s="329">
        <f ca="1">IF(E46&gt;=0,100,E45/ABS(E46))</f>
        <v>100</v>
      </c>
      <c r="F50" s="329">
        <f ca="1">IF(F46&gt;=0,100,F45/ABS(F46))</f>
        <v>100</v>
      </c>
      <c r="G50" s="73"/>
    </row>
    <row r="51" spans="2:9" ht="15.75" customHeight="1">
      <c r="B51" s="335" t="s">
        <v>337</v>
      </c>
      <c r="D51" s="105"/>
      <c r="E51" s="328">
        <f ca="1">MIN(MAX(E49-ABS((1-E49)/E50),0)/2,H51)</f>
        <v>0.28454707482993197</v>
      </c>
      <c r="F51" s="328">
        <f ca="1">MIN(MAX(F49-ABS((1-F49)/F50),0)/2,H51)</f>
        <v>0.30979707482993196</v>
      </c>
      <c r="G51" s="331" t="s">
        <v>308</v>
      </c>
      <c r="H51" s="77">
        <v>0.4</v>
      </c>
      <c r="I51" s="84" t="str">
        <f>"Kelly's Formula: [W – (1 – W)/R] /"&amp;2</f>
        <v>Kelly's Formula: [W – (1 – W)/R] /2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316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3">
    <mergeCell ref="G35:H35"/>
    <mergeCell ref="I35:J35"/>
    <mergeCell ref="C36:D36"/>
    <mergeCell ref="C35:D35"/>
    <mergeCell ref="I36:J36"/>
    <mergeCell ref="G36:H3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8" operator="lessThan">
      <formula>$B$18</formula>
    </cfRule>
  </conditionalFormatting>
  <conditionalFormatting sqref="C35:D36">
    <cfRule type="containsBlanks" priority="1">
      <formula>LEN(TRIM(C35))=0</formula>
    </cfRule>
  </conditionalFormatting>
  <conditionalFormatting sqref="C26:E26 I26 C28:G29 I28:I29">
    <cfRule type="containsBlanks" priority="25">
      <formula>LEN(TRIM(C26))=0</formula>
    </cfRule>
  </conditionalFormatting>
  <conditionalFormatting sqref="D16 D18">
    <cfRule type="cellIs" dxfId="16" priority="21" operator="lessThan">
      <formula>0</formula>
    </cfRule>
  </conditionalFormatting>
  <conditionalFormatting sqref="E14">
    <cfRule type="cellIs" dxfId="15" priority="13" operator="greaterThan">
      <formula>$B$16</formula>
    </cfRule>
  </conditionalFormatting>
  <conditionalFormatting sqref="E50:F50">
    <cfRule type="cellIs" dxfId="14" priority="4" operator="lessThan">
      <formula>1</formula>
    </cfRule>
  </conditionalFormatting>
  <conditionalFormatting sqref="E26:H26">
    <cfRule type="containsBlanks" dxfId="13" priority="9">
      <formula>LEN(TRIM(E26))=0</formula>
    </cfRule>
  </conditionalFormatting>
  <conditionalFormatting sqref="F16">
    <cfRule type="cellIs" dxfId="12" priority="16" operator="greaterThan">
      <formula>$B$16</formula>
    </cfRule>
  </conditionalFormatting>
  <conditionalFormatting sqref="G16">
    <cfRule type="cellIs" dxfId="11" priority="31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10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6" sqref="D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110593765.90551001</v>
      </c>
      <c r="E6" s="14">
        <f>1-D6/D3</f>
        <v>0.3091818474958602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13.533454574914353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319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0.7</v>
      </c>
      <c r="E18" s="27">
        <f t="shared" si="0"/>
        <v>9132.8180999999986</v>
      </c>
      <c r="G18" s="6"/>
    </row>
    <row r="19" spans="2:10" ht="14">
      <c r="B19" s="3" t="s">
        <v>101</v>
      </c>
      <c r="C19" s="64">
        <v>8609555.8550000004</v>
      </c>
      <c r="D19" s="65">
        <v>0.8</v>
      </c>
      <c r="E19" s="27">
        <f t="shared" si="0"/>
        <v>6887644.6840000004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0.7</v>
      </c>
      <c r="E20" s="27">
        <f t="shared" si="0"/>
        <v>5268920.6681999993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0.75</v>
      </c>
      <c r="E34" s="214">
        <f t="shared" si="3"/>
        <v>49948204.90275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6">
        <f>D53+D54+D55</f>
        <v>6739518.3509999998</v>
      </c>
      <c r="E52" s="437"/>
      <c r="F52" s="53"/>
      <c r="G52" s="53"/>
    </row>
    <row r="53" spans="2:9" ht="14.5" thickTop="1">
      <c r="B53" s="58" t="s">
        <v>222</v>
      </c>
      <c r="C53" s="6"/>
      <c r="D53" s="439">
        <f>SUM(I11:I13)+SUM(I28:I30)</f>
        <v>6739518.3509999998</v>
      </c>
      <c r="E53" s="372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6">
        <v>0</v>
      </c>
      <c r="E54" s="365"/>
      <c r="F54" s="6" t="s">
        <v>130</v>
      </c>
      <c r="G54" s="6"/>
    </row>
    <row r="55" spans="2:9" ht="12.75" customHeight="1">
      <c r="B55" s="58" t="s">
        <v>128</v>
      </c>
      <c r="C55" s="6"/>
      <c r="D55" s="446">
        <v>0</v>
      </c>
      <c r="E55" s="365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38"/>
      <c r="E57" s="438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4">
        <f>((Dashboard!I6*Data!C4)+D52+E50-C58-C59)</f>
        <v>17157164.825159989</v>
      </c>
      <c r="E60" s="445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2">
        <f>((C26-C11-C12-C14-C15-C16*G16-C19*G19-C20*G20)-I26)/Data!C7</f>
        <v>0.5934554144758829</v>
      </c>
      <c r="E63" s="443"/>
    </row>
    <row r="64" spans="2:9" ht="15" customHeight="1">
      <c r="B64" s="3" t="s">
        <v>250</v>
      </c>
      <c r="D64" s="440">
        <v>8.5599999999999996E-2</v>
      </c>
      <c r="E64" s="441"/>
      <c r="F64" s="250" t="s">
        <v>236</v>
      </c>
    </row>
    <row r="65" spans="2:5" ht="15" customHeight="1">
      <c r="B65" s="271" t="s">
        <v>252</v>
      </c>
      <c r="D65" s="440">
        <v>0.15</v>
      </c>
      <c r="E65" s="44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327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328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329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330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331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B21" sqref="B2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41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40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42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5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49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49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0" t="s">
        <v>220</v>
      </c>
      <c r="F20" s="450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8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6">
        <f ca="1">E22+$G$16</f>
        <v>7.8888521605441149</v>
      </c>
      <c r="G22" s="349">
        <f ca="1">ROUND(F22*Exchange_Rate,2)</f>
        <v>7.89</v>
      </c>
      <c r="I22" s="73"/>
    </row>
    <row r="23" spans="2:9" ht="15.75" customHeight="1" thickBot="1">
      <c r="B23" s="343" t="s">
        <v>280</v>
      </c>
      <c r="C23" s="344">
        <f>1/D23</f>
        <v>0.1</v>
      </c>
      <c r="D23" s="290">
        <v>10</v>
      </c>
      <c r="E23" s="345">
        <f ca="1">IF(G9&lt;0,G9,G9*D23/G11)</f>
        <v>3.3106702975917495</v>
      </c>
      <c r="F23" s="347">
        <f ca="1">E23+$G$16</f>
        <v>9.2131202795808136</v>
      </c>
      <c r="G23" s="352">
        <f ca="1">ROUND(F23*Exchange_Rate,2)</f>
        <v>9.2100000000000009</v>
      </c>
      <c r="I23" s="73" t="s">
        <v>332</v>
      </c>
    </row>
    <row r="24" spans="2:9" ht="15.75" customHeight="1" thickTop="1">
      <c r="C24" s="6"/>
      <c r="D24" s="6"/>
      <c r="E24" s="6"/>
      <c r="F24" s="350" t="s">
        <v>334</v>
      </c>
      <c r="G24" s="351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336</v>
      </c>
      <c r="C26" s="447" t="s">
        <v>145</v>
      </c>
      <c r="D26" s="448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333</v>
      </c>
      <c r="C27" s="238">
        <f ca="1">MIN(G24,Asset_Model!D7)+ABS(G24-Asset_Model!D7)*'Qualitative Analysis'!$E$64</f>
        <v>10.967019141422004</v>
      </c>
      <c r="D27" s="117" t="str">
        <f>Dashboard!J4</f>
        <v>HKD</v>
      </c>
      <c r="E27" s="118">
        <f ca="1">(C27-G16)/C9</f>
        <v>10.041258105086719</v>
      </c>
      <c r="F27" s="155">
        <f ca="1">C27/(Data!C28*Exchange_Rate*Data!C4/Common_Shares)</f>
        <v>0.56640336717761908</v>
      </c>
      <c r="G27" s="86"/>
      <c r="H27" s="6"/>
      <c r="I27" s="73"/>
    </row>
    <row r="28" spans="2:9" ht="15.75" customHeight="1"/>
    <row r="29" spans="2:9" ht="15.75" customHeight="1">
      <c r="B29" s="355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6" t="s">
        <v>344</v>
      </c>
      <c r="C30" s="338">
        <f>Asset_Model!I3*Exchange_Rate*Data!C4/Common_Shares*0.61</f>
        <v>11.892885374148257</v>
      </c>
      <c r="D30" s="337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340</v>
      </c>
    </row>
    <row r="31" spans="2:9" ht="15.75" customHeight="1">
      <c r="B31" s="356" t="s">
        <v>311</v>
      </c>
      <c r="C31" s="354">
        <f ca="1">MIN(C30,C27)+ABS(C30-C27)*'Qualitative Analysis'!E8</f>
        <v>11.504021556403231</v>
      </c>
      <c r="D31" s="337" t="str">
        <f>D30</f>
        <v>HKD</v>
      </c>
      <c r="E31" s="118">
        <f ca="1">(C31-G16)/C9</f>
        <v>11.105944889319543</v>
      </c>
      <c r="F31" s="155">
        <f ca="1">C31/(Asset_Model!I3*Exchange_Rate*Data!C4/Common_Shares)</f>
        <v>0.59005471999754688</v>
      </c>
      <c r="I31" s="73"/>
    </row>
    <row r="32" spans="2:9" ht="15.75" customHeight="1">
      <c r="B32" s="336" t="s">
        <v>335</v>
      </c>
      <c r="C32" s="354">
        <f ca="1">MIN(G24,C27)+ABS(G24-C27)*'Qualitative Analysis'!E8</f>
        <v>9.9445545305961911</v>
      </c>
      <c r="D32" s="337" t="str">
        <f>D30</f>
        <v>HKD</v>
      </c>
      <c r="E32" s="118">
        <f ca="1">(C32-G16)/C9</f>
        <v>8.0140706509482573</v>
      </c>
      <c r="F32" s="155">
        <f ca="1">C32/(Asset_Model!I3*Exchange_Rate*Data!C4/Common_Shares)</f>
        <v>0.51006783239076858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346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347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2023-06-21T06:48:24Z</dcterms:modified>
  <cp:category/>
  <cp:contentStatus/>
</cp:coreProperties>
</file>